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\respaldo_1\SOLICITUD_INFORMACION\nuevos_archivos\URGENCIAS_2022\Urgencias\Por año\"/>
    </mc:Choice>
  </mc:AlternateContent>
  <bookViews>
    <workbookView xWindow="-105" yWindow="-105" windowWidth="23250" windowHeight="12570" tabRatio="1000"/>
  </bookViews>
  <sheets>
    <sheet name="Concentrado" sheetId="1" r:id="rId1"/>
    <sheet name="NACIONAL" sheetId="2" r:id="rId2"/>
    <sheet name="AGS" sheetId="3" r:id="rId3"/>
    <sheet name="BC" sheetId="4" r:id="rId4"/>
    <sheet name="BCS" sheetId="5" r:id="rId5"/>
    <sheet name="CAMP" sheetId="6" r:id="rId6"/>
    <sheet name="CHIS" sheetId="7" r:id="rId7"/>
    <sheet name="CHI" sheetId="8" r:id="rId8"/>
    <sheet name="CDMX" sheetId="9" r:id="rId9"/>
    <sheet name="COAH" sheetId="10" r:id="rId10"/>
    <sheet name="COL" sheetId="11" r:id="rId11"/>
    <sheet name="DGO" sheetId="12" r:id="rId12"/>
    <sheet name="GTO" sheetId="13" r:id="rId13"/>
    <sheet name="GRO" sheetId="14" r:id="rId14"/>
    <sheet name="HGO" sheetId="15" r:id="rId15"/>
    <sheet name="JAL" sheetId="16" r:id="rId16"/>
    <sheet name="MEX" sheetId="17" r:id="rId17"/>
    <sheet name="MICH" sheetId="18" r:id="rId18"/>
    <sheet name="MOR" sheetId="19" r:id="rId19"/>
    <sheet name="NAY" sheetId="20" r:id="rId20"/>
    <sheet name="NL" sheetId="21" r:id="rId21"/>
    <sheet name="OAX" sheetId="22" r:id="rId22"/>
    <sheet name="PUE" sheetId="23" r:id="rId23"/>
    <sheet name="QRO" sheetId="24" r:id="rId24"/>
    <sheet name="QROO" sheetId="25" r:id="rId25"/>
    <sheet name="SLP" sheetId="26" r:id="rId26"/>
    <sheet name="SIN" sheetId="27" r:id="rId27"/>
    <sheet name="SON" sheetId="28" r:id="rId28"/>
    <sheet name="TAB" sheetId="29" r:id="rId29"/>
    <sheet name="TAMPS" sheetId="30" r:id="rId30"/>
    <sheet name="TLAX" sheetId="31" r:id="rId31"/>
    <sheet name="VER" sheetId="32" r:id="rId32"/>
    <sheet name="YUC" sheetId="33" r:id="rId33"/>
    <sheet name="ZAC" sheetId="34" r:id="rId34"/>
  </sheets>
  <definedNames>
    <definedName name="_xlnm._FilterDatabase" localSheetId="0" hidden="1">Concentrado!$A$1:$C$1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4" l="1"/>
  <c r="C7" i="4"/>
  <c r="B7" i="4"/>
  <c r="E6" i="4"/>
  <c r="D6" i="4"/>
  <c r="C6" i="4"/>
  <c r="B6" i="4"/>
  <c r="E5" i="4"/>
  <c r="D5" i="4"/>
  <c r="C5" i="4"/>
  <c r="B5" i="4"/>
  <c r="E4" i="4"/>
  <c r="D4" i="4"/>
  <c r="C4" i="4"/>
  <c r="B4" i="4"/>
  <c r="E3" i="4"/>
  <c r="D3" i="4"/>
  <c r="C3" i="4"/>
  <c r="B3" i="4"/>
  <c r="E2" i="4"/>
  <c r="D2" i="4"/>
  <c r="C2" i="4"/>
  <c r="B2" i="4"/>
  <c r="D7" i="5"/>
  <c r="C7" i="5"/>
  <c r="B7" i="5"/>
  <c r="E6" i="5"/>
  <c r="D6" i="5"/>
  <c r="C6" i="5"/>
  <c r="B6" i="5"/>
  <c r="E5" i="5"/>
  <c r="D5" i="5"/>
  <c r="C5" i="5"/>
  <c r="B5" i="5"/>
  <c r="E4" i="5"/>
  <c r="D4" i="5"/>
  <c r="C4" i="5"/>
  <c r="B4" i="5"/>
  <c r="E3" i="5"/>
  <c r="D3" i="5"/>
  <c r="C3" i="5"/>
  <c r="B3" i="5"/>
  <c r="E2" i="5"/>
  <c r="D2" i="5"/>
  <c r="C2" i="5"/>
  <c r="B2" i="5"/>
  <c r="D7" i="6"/>
  <c r="C7" i="6"/>
  <c r="B7" i="6"/>
  <c r="E6" i="6"/>
  <c r="D6" i="6"/>
  <c r="C6" i="6"/>
  <c r="B6" i="6"/>
  <c r="E5" i="6"/>
  <c r="D5" i="6"/>
  <c r="C5" i="6"/>
  <c r="B5" i="6"/>
  <c r="E4" i="6"/>
  <c r="D4" i="6"/>
  <c r="C4" i="6"/>
  <c r="B4" i="6"/>
  <c r="E3" i="6"/>
  <c r="D3" i="6"/>
  <c r="C3" i="6"/>
  <c r="B3" i="6"/>
  <c r="E2" i="6"/>
  <c r="D2" i="6"/>
  <c r="C2" i="6"/>
  <c r="B2" i="6"/>
  <c r="D7" i="7"/>
  <c r="C7" i="7"/>
  <c r="B7" i="7"/>
  <c r="E6" i="7"/>
  <c r="D6" i="7"/>
  <c r="C6" i="7"/>
  <c r="B6" i="7"/>
  <c r="E5" i="7"/>
  <c r="D5" i="7"/>
  <c r="C5" i="7"/>
  <c r="B5" i="7"/>
  <c r="E4" i="7"/>
  <c r="D4" i="7"/>
  <c r="C4" i="7"/>
  <c r="B4" i="7"/>
  <c r="E3" i="7"/>
  <c r="D3" i="7"/>
  <c r="C3" i="7"/>
  <c r="B3" i="7"/>
  <c r="E2" i="7"/>
  <c r="D2" i="7"/>
  <c r="C2" i="7"/>
  <c r="B2" i="7"/>
  <c r="D7" i="8"/>
  <c r="C7" i="8"/>
  <c r="B7" i="8"/>
  <c r="E6" i="8"/>
  <c r="D6" i="8"/>
  <c r="C6" i="8"/>
  <c r="B6" i="8"/>
  <c r="E5" i="8"/>
  <c r="D5" i="8"/>
  <c r="C5" i="8"/>
  <c r="B5" i="8"/>
  <c r="E4" i="8"/>
  <c r="D4" i="8"/>
  <c r="C4" i="8"/>
  <c r="B4" i="8"/>
  <c r="E3" i="8"/>
  <c r="D3" i="8"/>
  <c r="C3" i="8"/>
  <c r="B3" i="8"/>
  <c r="E2" i="8"/>
  <c r="D2" i="8"/>
  <c r="C2" i="8"/>
  <c r="B2" i="8"/>
  <c r="D7" i="9"/>
  <c r="C7" i="9"/>
  <c r="B7" i="9"/>
  <c r="E6" i="9"/>
  <c r="D6" i="9"/>
  <c r="C6" i="9"/>
  <c r="B6" i="9"/>
  <c r="E5" i="9"/>
  <c r="D5" i="9"/>
  <c r="C5" i="9"/>
  <c r="B5" i="9"/>
  <c r="E4" i="9"/>
  <c r="D4" i="9"/>
  <c r="C4" i="9"/>
  <c r="B4" i="9"/>
  <c r="E3" i="9"/>
  <c r="D3" i="9"/>
  <c r="C3" i="9"/>
  <c r="B3" i="9"/>
  <c r="E2" i="9"/>
  <c r="D2" i="9"/>
  <c r="C2" i="9"/>
  <c r="B2" i="9"/>
  <c r="D7" i="10"/>
  <c r="C7" i="10"/>
  <c r="B7" i="10"/>
  <c r="E6" i="10"/>
  <c r="D6" i="10"/>
  <c r="C6" i="10"/>
  <c r="B6" i="10"/>
  <c r="E5" i="10"/>
  <c r="D5" i="10"/>
  <c r="C5" i="10"/>
  <c r="B5" i="10"/>
  <c r="E4" i="10"/>
  <c r="D4" i="10"/>
  <c r="C4" i="10"/>
  <c r="B4" i="10"/>
  <c r="E3" i="10"/>
  <c r="D3" i="10"/>
  <c r="C3" i="10"/>
  <c r="B3" i="10"/>
  <c r="E2" i="10"/>
  <c r="D2" i="10"/>
  <c r="C2" i="10"/>
  <c r="B2" i="10"/>
  <c r="D7" i="11"/>
  <c r="C7" i="11"/>
  <c r="B7" i="11"/>
  <c r="E6" i="11"/>
  <c r="D6" i="11"/>
  <c r="C6" i="11"/>
  <c r="B6" i="11"/>
  <c r="E5" i="11"/>
  <c r="D5" i="11"/>
  <c r="C5" i="11"/>
  <c r="B5" i="11"/>
  <c r="E4" i="11"/>
  <c r="D4" i="11"/>
  <c r="C4" i="11"/>
  <c r="B4" i="11"/>
  <c r="E3" i="11"/>
  <c r="D3" i="11"/>
  <c r="C3" i="11"/>
  <c r="B3" i="11"/>
  <c r="E2" i="11"/>
  <c r="D2" i="11"/>
  <c r="C2" i="11"/>
  <c r="B2" i="11"/>
  <c r="D7" i="12"/>
  <c r="C7" i="12"/>
  <c r="B7" i="12"/>
  <c r="E6" i="12"/>
  <c r="D6" i="12"/>
  <c r="C6" i="12"/>
  <c r="B6" i="12"/>
  <c r="E5" i="12"/>
  <c r="D5" i="12"/>
  <c r="C5" i="12"/>
  <c r="B5" i="12"/>
  <c r="E4" i="12"/>
  <c r="D4" i="12"/>
  <c r="C4" i="12"/>
  <c r="B4" i="12"/>
  <c r="E3" i="12"/>
  <c r="D3" i="12"/>
  <c r="C3" i="12"/>
  <c r="B3" i="12"/>
  <c r="E2" i="12"/>
  <c r="D2" i="12"/>
  <c r="C2" i="12"/>
  <c r="B2" i="12"/>
  <c r="D7" i="13"/>
  <c r="C7" i="13"/>
  <c r="B7" i="13"/>
  <c r="E6" i="13"/>
  <c r="D6" i="13"/>
  <c r="C6" i="13"/>
  <c r="B6" i="13"/>
  <c r="E5" i="13"/>
  <c r="D5" i="13"/>
  <c r="C5" i="13"/>
  <c r="B5" i="13"/>
  <c r="E4" i="13"/>
  <c r="D4" i="13"/>
  <c r="C4" i="13"/>
  <c r="B4" i="13"/>
  <c r="E3" i="13"/>
  <c r="D3" i="13"/>
  <c r="C3" i="13"/>
  <c r="B3" i="13"/>
  <c r="E2" i="13"/>
  <c r="D2" i="13"/>
  <c r="C2" i="13"/>
  <c r="B2" i="13"/>
  <c r="D7" i="14"/>
  <c r="C7" i="14"/>
  <c r="B7" i="14"/>
  <c r="E6" i="14"/>
  <c r="D6" i="14"/>
  <c r="C6" i="14"/>
  <c r="B6" i="14"/>
  <c r="E5" i="14"/>
  <c r="D5" i="14"/>
  <c r="C5" i="14"/>
  <c r="B5" i="14"/>
  <c r="E4" i="14"/>
  <c r="D4" i="14"/>
  <c r="C4" i="14"/>
  <c r="B4" i="14"/>
  <c r="E3" i="14"/>
  <c r="D3" i="14"/>
  <c r="C3" i="14"/>
  <c r="B3" i="14"/>
  <c r="E2" i="14"/>
  <c r="D2" i="14"/>
  <c r="C2" i="14"/>
  <c r="B2" i="14"/>
  <c r="D7" i="15"/>
  <c r="C7" i="15"/>
  <c r="B7" i="15"/>
  <c r="E6" i="15"/>
  <c r="D6" i="15"/>
  <c r="C6" i="15"/>
  <c r="B6" i="15"/>
  <c r="E5" i="15"/>
  <c r="D5" i="15"/>
  <c r="C5" i="15"/>
  <c r="B5" i="15"/>
  <c r="E4" i="15"/>
  <c r="D4" i="15"/>
  <c r="C4" i="15"/>
  <c r="B4" i="15"/>
  <c r="E3" i="15"/>
  <c r="D3" i="15"/>
  <c r="C3" i="15"/>
  <c r="B3" i="15"/>
  <c r="E2" i="15"/>
  <c r="D2" i="15"/>
  <c r="C2" i="15"/>
  <c r="B2" i="15"/>
  <c r="D7" i="16"/>
  <c r="C7" i="16"/>
  <c r="B7" i="16"/>
  <c r="E6" i="16"/>
  <c r="D6" i="16"/>
  <c r="C6" i="16"/>
  <c r="B6" i="16"/>
  <c r="E5" i="16"/>
  <c r="D5" i="16"/>
  <c r="C5" i="16"/>
  <c r="B5" i="16"/>
  <c r="E4" i="16"/>
  <c r="D4" i="16"/>
  <c r="C4" i="16"/>
  <c r="B4" i="16"/>
  <c r="E3" i="16"/>
  <c r="D3" i="16"/>
  <c r="C3" i="16"/>
  <c r="B3" i="16"/>
  <c r="E2" i="16"/>
  <c r="D2" i="16"/>
  <c r="C2" i="16"/>
  <c r="B2" i="16"/>
  <c r="D7" i="17"/>
  <c r="C7" i="17"/>
  <c r="B7" i="17"/>
  <c r="E6" i="17"/>
  <c r="D6" i="17"/>
  <c r="C6" i="17"/>
  <c r="B6" i="17"/>
  <c r="E5" i="17"/>
  <c r="D5" i="17"/>
  <c r="C5" i="17"/>
  <c r="B5" i="17"/>
  <c r="E4" i="17"/>
  <c r="D4" i="17"/>
  <c r="C4" i="17"/>
  <c r="B4" i="17"/>
  <c r="E3" i="17"/>
  <c r="D3" i="17"/>
  <c r="C3" i="17"/>
  <c r="B3" i="17"/>
  <c r="E2" i="17"/>
  <c r="D2" i="17"/>
  <c r="C2" i="17"/>
  <c r="B2" i="17"/>
  <c r="D7" i="18"/>
  <c r="C7" i="18"/>
  <c r="B7" i="18"/>
  <c r="E6" i="18"/>
  <c r="D6" i="18"/>
  <c r="C6" i="18"/>
  <c r="B6" i="18"/>
  <c r="E5" i="18"/>
  <c r="D5" i="18"/>
  <c r="C5" i="18"/>
  <c r="B5" i="18"/>
  <c r="E4" i="18"/>
  <c r="D4" i="18"/>
  <c r="C4" i="18"/>
  <c r="B4" i="18"/>
  <c r="E3" i="18"/>
  <c r="D3" i="18"/>
  <c r="C3" i="18"/>
  <c r="B3" i="18"/>
  <c r="E2" i="18"/>
  <c r="D2" i="18"/>
  <c r="C2" i="18"/>
  <c r="B2" i="18"/>
  <c r="D7" i="19"/>
  <c r="C7" i="19"/>
  <c r="B7" i="19"/>
  <c r="E6" i="19"/>
  <c r="D6" i="19"/>
  <c r="C6" i="19"/>
  <c r="B6" i="19"/>
  <c r="E5" i="19"/>
  <c r="D5" i="19"/>
  <c r="C5" i="19"/>
  <c r="B5" i="19"/>
  <c r="E4" i="19"/>
  <c r="D4" i="19"/>
  <c r="C4" i="19"/>
  <c r="B4" i="19"/>
  <c r="E3" i="19"/>
  <c r="D3" i="19"/>
  <c r="C3" i="19"/>
  <c r="B3" i="19"/>
  <c r="E2" i="19"/>
  <c r="D2" i="19"/>
  <c r="C2" i="19"/>
  <c r="B2" i="19"/>
  <c r="D7" i="20"/>
  <c r="C7" i="20"/>
  <c r="B7" i="20"/>
  <c r="E6" i="20"/>
  <c r="D6" i="20"/>
  <c r="C6" i="20"/>
  <c r="B6" i="20"/>
  <c r="E5" i="20"/>
  <c r="D5" i="20"/>
  <c r="C5" i="20"/>
  <c r="B5" i="20"/>
  <c r="E4" i="20"/>
  <c r="D4" i="20"/>
  <c r="C4" i="20"/>
  <c r="B4" i="20"/>
  <c r="E3" i="20"/>
  <c r="D3" i="20"/>
  <c r="C3" i="20"/>
  <c r="B3" i="20"/>
  <c r="E2" i="20"/>
  <c r="D2" i="20"/>
  <c r="C2" i="20"/>
  <c r="B2" i="20"/>
  <c r="D7" i="21"/>
  <c r="C7" i="21"/>
  <c r="B7" i="21"/>
  <c r="E6" i="21"/>
  <c r="D6" i="21"/>
  <c r="C6" i="21"/>
  <c r="B6" i="21"/>
  <c r="E5" i="21"/>
  <c r="D5" i="21"/>
  <c r="C5" i="21"/>
  <c r="B5" i="21"/>
  <c r="E4" i="21"/>
  <c r="D4" i="21"/>
  <c r="C4" i="21"/>
  <c r="B4" i="21"/>
  <c r="E3" i="21"/>
  <c r="D3" i="21"/>
  <c r="C3" i="21"/>
  <c r="B3" i="21"/>
  <c r="E2" i="21"/>
  <c r="D2" i="21"/>
  <c r="C2" i="21"/>
  <c r="B2" i="21"/>
  <c r="D7" i="22"/>
  <c r="C7" i="22"/>
  <c r="B7" i="22"/>
  <c r="E6" i="22"/>
  <c r="D6" i="22"/>
  <c r="C6" i="22"/>
  <c r="B6" i="22"/>
  <c r="E5" i="22"/>
  <c r="D5" i="22"/>
  <c r="C5" i="22"/>
  <c r="B5" i="22"/>
  <c r="E4" i="22"/>
  <c r="D4" i="22"/>
  <c r="C4" i="22"/>
  <c r="B4" i="22"/>
  <c r="E3" i="22"/>
  <c r="D3" i="22"/>
  <c r="C3" i="22"/>
  <c r="B3" i="22"/>
  <c r="E2" i="22"/>
  <c r="D2" i="22"/>
  <c r="C2" i="22"/>
  <c r="B2" i="22"/>
  <c r="D7" i="23"/>
  <c r="C7" i="23"/>
  <c r="B7" i="23"/>
  <c r="E6" i="23"/>
  <c r="D6" i="23"/>
  <c r="C6" i="23"/>
  <c r="B6" i="23"/>
  <c r="E5" i="23"/>
  <c r="D5" i="23"/>
  <c r="C5" i="23"/>
  <c r="B5" i="23"/>
  <c r="E4" i="23"/>
  <c r="D4" i="23"/>
  <c r="C4" i="23"/>
  <c r="B4" i="23"/>
  <c r="E3" i="23"/>
  <c r="D3" i="23"/>
  <c r="C3" i="23"/>
  <c r="B3" i="23"/>
  <c r="E2" i="23"/>
  <c r="D2" i="23"/>
  <c r="C2" i="23"/>
  <c r="B2" i="23"/>
  <c r="D7" i="24"/>
  <c r="C7" i="24"/>
  <c r="B7" i="24"/>
  <c r="E6" i="24"/>
  <c r="D6" i="24"/>
  <c r="C6" i="24"/>
  <c r="B6" i="24"/>
  <c r="E5" i="24"/>
  <c r="D5" i="24"/>
  <c r="C5" i="24"/>
  <c r="B5" i="24"/>
  <c r="E4" i="24"/>
  <c r="D4" i="24"/>
  <c r="C4" i="24"/>
  <c r="B4" i="24"/>
  <c r="E3" i="24"/>
  <c r="D3" i="24"/>
  <c r="C3" i="24"/>
  <c r="B3" i="24"/>
  <c r="E2" i="24"/>
  <c r="D2" i="24"/>
  <c r="C2" i="24"/>
  <c r="B2" i="24"/>
  <c r="D7" i="25"/>
  <c r="C7" i="25"/>
  <c r="B7" i="25"/>
  <c r="E6" i="25"/>
  <c r="D6" i="25"/>
  <c r="C6" i="25"/>
  <c r="B6" i="25"/>
  <c r="E5" i="25"/>
  <c r="D5" i="25"/>
  <c r="C5" i="25"/>
  <c r="B5" i="25"/>
  <c r="E4" i="25"/>
  <c r="D4" i="25"/>
  <c r="C4" i="25"/>
  <c r="B4" i="25"/>
  <c r="E3" i="25"/>
  <c r="D3" i="25"/>
  <c r="C3" i="25"/>
  <c r="B3" i="25"/>
  <c r="E2" i="25"/>
  <c r="D2" i="25"/>
  <c r="C2" i="25"/>
  <c r="B2" i="25"/>
  <c r="D7" i="26"/>
  <c r="C7" i="26"/>
  <c r="B7" i="26"/>
  <c r="E6" i="26"/>
  <c r="D6" i="26"/>
  <c r="C6" i="26"/>
  <c r="B6" i="26"/>
  <c r="E5" i="26"/>
  <c r="D5" i="26"/>
  <c r="C5" i="26"/>
  <c r="B5" i="26"/>
  <c r="E4" i="26"/>
  <c r="D4" i="26"/>
  <c r="C4" i="26"/>
  <c r="B4" i="26"/>
  <c r="E3" i="26"/>
  <c r="D3" i="26"/>
  <c r="C3" i="26"/>
  <c r="B3" i="26"/>
  <c r="E2" i="26"/>
  <c r="D2" i="26"/>
  <c r="C2" i="26"/>
  <c r="B2" i="26"/>
  <c r="D7" i="27"/>
  <c r="C7" i="27"/>
  <c r="B7" i="27"/>
  <c r="E6" i="27"/>
  <c r="D6" i="27"/>
  <c r="C6" i="27"/>
  <c r="B6" i="27"/>
  <c r="E5" i="27"/>
  <c r="D5" i="27"/>
  <c r="C5" i="27"/>
  <c r="B5" i="27"/>
  <c r="E4" i="27"/>
  <c r="D4" i="27"/>
  <c r="C4" i="27"/>
  <c r="B4" i="27"/>
  <c r="E3" i="27"/>
  <c r="D3" i="27"/>
  <c r="C3" i="27"/>
  <c r="B3" i="27"/>
  <c r="E2" i="27"/>
  <c r="D2" i="27"/>
  <c r="C2" i="27"/>
  <c r="B2" i="27"/>
  <c r="D7" i="28"/>
  <c r="C7" i="28"/>
  <c r="B7" i="28"/>
  <c r="E6" i="28"/>
  <c r="D6" i="28"/>
  <c r="C6" i="28"/>
  <c r="B6" i="28"/>
  <c r="E5" i="28"/>
  <c r="D5" i="28"/>
  <c r="C5" i="28"/>
  <c r="B5" i="28"/>
  <c r="E4" i="28"/>
  <c r="D4" i="28"/>
  <c r="C4" i="28"/>
  <c r="B4" i="28"/>
  <c r="E3" i="28"/>
  <c r="D3" i="28"/>
  <c r="C3" i="28"/>
  <c r="B3" i="28"/>
  <c r="E2" i="28"/>
  <c r="D2" i="28"/>
  <c r="C2" i="28"/>
  <c r="B2" i="28"/>
  <c r="D7" i="29"/>
  <c r="C7" i="29"/>
  <c r="B7" i="29"/>
  <c r="E6" i="29"/>
  <c r="D6" i="29"/>
  <c r="C6" i="29"/>
  <c r="B6" i="29"/>
  <c r="E5" i="29"/>
  <c r="D5" i="29"/>
  <c r="C5" i="29"/>
  <c r="B5" i="29"/>
  <c r="E4" i="29"/>
  <c r="D4" i="29"/>
  <c r="C4" i="29"/>
  <c r="B4" i="29"/>
  <c r="E3" i="29"/>
  <c r="D3" i="29"/>
  <c r="C3" i="29"/>
  <c r="B3" i="29"/>
  <c r="E2" i="29"/>
  <c r="D2" i="29"/>
  <c r="C2" i="29"/>
  <c r="B2" i="29"/>
  <c r="D7" i="30"/>
  <c r="C7" i="30"/>
  <c r="B7" i="30"/>
  <c r="E6" i="30"/>
  <c r="D6" i="30"/>
  <c r="C6" i="30"/>
  <c r="B6" i="30"/>
  <c r="E5" i="30"/>
  <c r="D5" i="30"/>
  <c r="C5" i="30"/>
  <c r="B5" i="30"/>
  <c r="E4" i="30"/>
  <c r="D4" i="30"/>
  <c r="C4" i="30"/>
  <c r="B4" i="30"/>
  <c r="E3" i="30"/>
  <c r="D3" i="30"/>
  <c r="C3" i="30"/>
  <c r="B3" i="30"/>
  <c r="E2" i="30"/>
  <c r="D2" i="30"/>
  <c r="C2" i="30"/>
  <c r="B2" i="30"/>
  <c r="D7" i="31"/>
  <c r="C7" i="31"/>
  <c r="B7" i="31"/>
  <c r="E6" i="31"/>
  <c r="D6" i="31"/>
  <c r="C6" i="31"/>
  <c r="B6" i="31"/>
  <c r="E5" i="31"/>
  <c r="D5" i="31"/>
  <c r="C5" i="31"/>
  <c r="B5" i="31"/>
  <c r="E4" i="31"/>
  <c r="D4" i="31"/>
  <c r="C4" i="31"/>
  <c r="B4" i="31"/>
  <c r="E3" i="31"/>
  <c r="D3" i="31"/>
  <c r="C3" i="31"/>
  <c r="B3" i="31"/>
  <c r="E2" i="31"/>
  <c r="D2" i="31"/>
  <c r="C2" i="31"/>
  <c r="B2" i="31"/>
  <c r="D7" i="32"/>
  <c r="C7" i="32"/>
  <c r="B7" i="32"/>
  <c r="E6" i="32"/>
  <c r="D6" i="32"/>
  <c r="C6" i="32"/>
  <c r="B6" i="32"/>
  <c r="E5" i="32"/>
  <c r="D5" i="32"/>
  <c r="C5" i="32"/>
  <c r="B5" i="32"/>
  <c r="E4" i="32"/>
  <c r="D4" i="32"/>
  <c r="C4" i="32"/>
  <c r="B4" i="32"/>
  <c r="E3" i="32"/>
  <c r="D3" i="32"/>
  <c r="C3" i="32"/>
  <c r="B3" i="32"/>
  <c r="E2" i="32"/>
  <c r="D2" i="32"/>
  <c r="C2" i="32"/>
  <c r="B2" i="32"/>
  <c r="D7" i="33"/>
  <c r="C7" i="33"/>
  <c r="B7" i="33"/>
  <c r="E6" i="33"/>
  <c r="D6" i="33"/>
  <c r="C6" i="33"/>
  <c r="B6" i="33"/>
  <c r="E5" i="33"/>
  <c r="D5" i="33"/>
  <c r="C5" i="33"/>
  <c r="B5" i="33"/>
  <c r="E4" i="33"/>
  <c r="D4" i="33"/>
  <c r="C4" i="33"/>
  <c r="B4" i="33"/>
  <c r="E3" i="33"/>
  <c r="D3" i="33"/>
  <c r="C3" i="33"/>
  <c r="B3" i="33"/>
  <c r="E2" i="33"/>
  <c r="D2" i="33"/>
  <c r="C2" i="33"/>
  <c r="B2" i="33"/>
  <c r="D7" i="34"/>
  <c r="C7" i="34"/>
  <c r="B7" i="34"/>
  <c r="E6" i="34"/>
  <c r="D6" i="34"/>
  <c r="C6" i="34"/>
  <c r="B6" i="34"/>
  <c r="E5" i="34"/>
  <c r="D5" i="34"/>
  <c r="C5" i="34"/>
  <c r="B5" i="34"/>
  <c r="E4" i="34"/>
  <c r="D4" i="34"/>
  <c r="C4" i="34"/>
  <c r="B4" i="34"/>
  <c r="E3" i="34"/>
  <c r="D3" i="34"/>
  <c r="C3" i="34"/>
  <c r="B3" i="34"/>
  <c r="E2" i="34"/>
  <c r="D2" i="34"/>
  <c r="C2" i="34"/>
  <c r="B2" i="34"/>
  <c r="D7" i="3"/>
  <c r="C7" i="3"/>
  <c r="B7" i="3"/>
  <c r="E6" i="3"/>
  <c r="D6" i="3"/>
  <c r="C6" i="3"/>
  <c r="B6" i="3"/>
  <c r="E5" i="3"/>
  <c r="D5" i="3"/>
  <c r="C5" i="3"/>
  <c r="B5" i="3"/>
  <c r="E4" i="3"/>
  <c r="D4" i="3"/>
  <c r="C4" i="3"/>
  <c r="B4" i="3"/>
  <c r="E3" i="3"/>
  <c r="D3" i="3"/>
  <c r="C3" i="3"/>
  <c r="B3" i="3"/>
  <c r="E2" i="3"/>
  <c r="D2" i="3"/>
  <c r="C2" i="3"/>
  <c r="B2" i="3"/>
  <c r="E6" i="2"/>
  <c r="D6" i="2"/>
  <c r="C6" i="2"/>
  <c r="B6" i="2"/>
  <c r="E5" i="2"/>
  <c r="D5" i="2"/>
  <c r="C5" i="2"/>
  <c r="B5" i="2"/>
  <c r="E4" i="2"/>
  <c r="D4" i="2"/>
  <c r="C4" i="2"/>
  <c r="B4" i="2"/>
  <c r="E3" i="2"/>
  <c r="D3" i="2"/>
  <c r="C3" i="2"/>
  <c r="B3" i="2"/>
  <c r="E2" i="2"/>
  <c r="D2" i="2"/>
  <c r="C2" i="2"/>
  <c r="B2" i="2"/>
  <c r="D167" i="1"/>
  <c r="C7" i="2" s="1"/>
  <c r="E167" i="1"/>
  <c r="D7" i="2" s="1"/>
  <c r="C167" i="1"/>
  <c r="B7" i="2" s="1"/>
  <c r="F169" i="1"/>
  <c r="E7" i="4" s="1"/>
  <c r="F170" i="1"/>
  <c r="E7" i="5" s="1"/>
  <c r="F171" i="1"/>
  <c r="E7" i="6" s="1"/>
  <c r="F172" i="1"/>
  <c r="E7" i="10" s="1"/>
  <c r="F173" i="1"/>
  <c r="E7" i="11" s="1"/>
  <c r="F174" i="1"/>
  <c r="E7" i="7" s="1"/>
  <c r="F175" i="1"/>
  <c r="E7" i="8" s="1"/>
  <c r="F176" i="1"/>
  <c r="E7" i="9" s="1"/>
  <c r="F177" i="1"/>
  <c r="E7" i="12" s="1"/>
  <c r="F178" i="1"/>
  <c r="E7" i="13" s="1"/>
  <c r="F179" i="1"/>
  <c r="E7" i="14" s="1"/>
  <c r="F180" i="1"/>
  <c r="E7" i="15" s="1"/>
  <c r="F181" i="1"/>
  <c r="E7" i="16" s="1"/>
  <c r="F182" i="1"/>
  <c r="E7" i="17" s="1"/>
  <c r="F183" i="1"/>
  <c r="E7" i="18" s="1"/>
  <c r="F184" i="1"/>
  <c r="E7" i="19" s="1"/>
  <c r="F185" i="1"/>
  <c r="E7" i="20" s="1"/>
  <c r="F186" i="1"/>
  <c r="E7" i="21" s="1"/>
  <c r="F187" i="1"/>
  <c r="E7" i="22" s="1"/>
  <c r="F188" i="1"/>
  <c r="E7" i="23" s="1"/>
  <c r="F189" i="1"/>
  <c r="E7" i="24" s="1"/>
  <c r="F190" i="1"/>
  <c r="E7" i="25" s="1"/>
  <c r="F191" i="1"/>
  <c r="E7" i="26" s="1"/>
  <c r="F192" i="1"/>
  <c r="E7" i="27" s="1"/>
  <c r="F193" i="1"/>
  <c r="E7" i="28" s="1"/>
  <c r="F194" i="1"/>
  <c r="E7" i="29" s="1"/>
  <c r="F195" i="1"/>
  <c r="E7" i="30" s="1"/>
  <c r="F196" i="1"/>
  <c r="E7" i="31" s="1"/>
  <c r="F197" i="1"/>
  <c r="E7" i="32" s="1"/>
  <c r="F198" i="1"/>
  <c r="E7" i="33" s="1"/>
  <c r="F199" i="1"/>
  <c r="E7" i="34" s="1"/>
  <c r="F168" i="1"/>
  <c r="E7" i="3" s="1"/>
  <c r="F167" i="1" l="1"/>
  <c r="E7" i="2" s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E134" i="1"/>
  <c r="D134" i="1"/>
  <c r="C134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E35" i="1"/>
  <c r="D35" i="1"/>
  <c r="C35" i="1"/>
  <c r="F134" i="1" l="1"/>
  <c r="F35" i="1"/>
  <c r="F100" i="1" l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E68" i="1"/>
  <c r="D68" i="1"/>
  <c r="C68" i="1"/>
  <c r="F68" i="1" l="1"/>
  <c r="F102" i="1" l="1"/>
  <c r="D101" i="1"/>
  <c r="E101" i="1"/>
  <c r="C101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D2" i="1"/>
  <c r="E2" i="1"/>
  <c r="C2" i="1"/>
  <c r="F101" i="1" l="1"/>
  <c r="F2" i="1"/>
</calcChain>
</file>

<file path=xl/sharedStrings.xml><?xml version="1.0" encoding="utf-8"?>
<sst xmlns="http://schemas.openxmlformats.org/spreadsheetml/2006/main" count="369" uniqueCount="39">
  <si>
    <t>Año</t>
  </si>
  <si>
    <t>Entidad Federativa</t>
  </si>
  <si>
    <t>Nacional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</si>
  <si>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</si>
  <si>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</si>
  <si>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</si>
  <si>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</si>
  <si>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</si>
  <si>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</si>
  <si>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</si>
  <si>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</si>
  <si>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</si>
  <si>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</si>
  <si>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</si>
  <si>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</si>
  <si>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</si>
  <si>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</si>
  <si>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</si>
  <si>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</si>
  <si>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</si>
  <si>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</si>
  <si>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</si>
  <si>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</si>
  <si>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</si>
  <si>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</si>
  <si>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</si>
  <si>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</si>
  <si>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</si>
  <si>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</si>
  <si>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</si>
  <si>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Coahuila</t>
  </si>
  <si>
    <t>Michoacán</t>
  </si>
  <si>
    <t>Querétaro</t>
  </si>
  <si>
    <t>Veracruz</t>
  </si>
  <si>
    <t>URGENCIA CALIFICADA</t>
  </si>
  <si>
    <t>URGENCIA NO CALIFICADA</t>
  </si>
  <si>
    <t>Total</t>
  </si>
  <si>
    <t>N.E.</t>
  </si>
  <si>
    <t>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</si>
</sst>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/>
    <xf numFmtId="164" fontId="2" fillId="0" borderId="1" xfId="0" applyNumberFormat="1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"/>
  <sheetViews>
    <sheetView tabSelected="1" workbookViewId="0">
      <pane ySplit="1" topLeftCell="A164" activePane="bottomLeft" state="frozen"/>
      <selection pane="bottomLeft" activeCell="J173" sqref="J173"/>
    </sheetView>
  </sheetViews>
  <sheetFormatPr baseColWidth="10" defaultColWidth="11.42578125" defaultRowHeight="14.25" x14ac:dyDescent="0.2"/>
  <cols>
    <col min="1" max="1" width="12.140625" style="2" customWidth="1"/>
    <col min="2" max="2" width="24.5703125" style="2" customWidth="1"/>
    <col min="3" max="4" width="16.42578125" style="4" customWidth="1"/>
    <col min="5" max="6" width="14" style="3" customWidth="1"/>
    <col min="7" max="16384" width="11.42578125" style="3"/>
  </cols>
  <sheetData>
    <row r="1" spans="1:6" ht="28.5" x14ac:dyDescent="0.2">
      <c r="A1" s="1" t="s">
        <v>0</v>
      </c>
      <c r="B1" s="1" t="s">
        <v>1</v>
      </c>
      <c r="C1" s="1" t="s">
        <v>34</v>
      </c>
      <c r="D1" s="1" t="s">
        <v>35</v>
      </c>
      <c r="E1" s="1" t="s">
        <v>37</v>
      </c>
      <c r="F1" s="1" t="s">
        <v>36</v>
      </c>
    </row>
    <row r="2" spans="1:6" x14ac:dyDescent="0.2">
      <c r="A2" s="8">
        <v>2017</v>
      </c>
      <c r="B2" s="6" t="s">
        <v>2</v>
      </c>
      <c r="C2" s="9">
        <f>SUM(C3:C34)</f>
        <v>2598700</v>
      </c>
      <c r="D2" s="9">
        <f t="shared" ref="D2:E2" si="0">SUM(D3:D34)</f>
        <v>6100470</v>
      </c>
      <c r="E2" s="9">
        <f t="shared" si="0"/>
        <v>156570</v>
      </c>
      <c r="F2" s="9">
        <f t="shared" ref="F2:F33" si="1">SUM(C2:E2)</f>
        <v>8855740</v>
      </c>
    </row>
    <row r="3" spans="1:6" x14ac:dyDescent="0.2">
      <c r="A3" s="7">
        <v>2017</v>
      </c>
      <c r="B3" s="5" t="s">
        <v>3</v>
      </c>
      <c r="C3" s="10">
        <v>86108</v>
      </c>
      <c r="D3" s="10">
        <v>71438</v>
      </c>
      <c r="E3" s="10">
        <v>137</v>
      </c>
      <c r="F3" s="10">
        <f t="shared" si="1"/>
        <v>157683</v>
      </c>
    </row>
    <row r="4" spans="1:6" x14ac:dyDescent="0.2">
      <c r="A4" s="7">
        <v>2017</v>
      </c>
      <c r="B4" s="5" t="s">
        <v>4</v>
      </c>
      <c r="C4" s="10">
        <v>47292</v>
      </c>
      <c r="D4" s="10">
        <v>124203</v>
      </c>
      <c r="E4" s="10">
        <v>1390</v>
      </c>
      <c r="F4" s="10">
        <f t="shared" si="1"/>
        <v>172885</v>
      </c>
    </row>
    <row r="5" spans="1:6" x14ac:dyDescent="0.2">
      <c r="A5" s="7">
        <v>2017</v>
      </c>
      <c r="B5" s="5" t="s">
        <v>5</v>
      </c>
      <c r="C5" s="10">
        <v>15688</v>
      </c>
      <c r="D5" s="10">
        <v>68955</v>
      </c>
      <c r="E5" s="10">
        <v>267</v>
      </c>
      <c r="F5" s="10">
        <f t="shared" si="1"/>
        <v>84910</v>
      </c>
    </row>
    <row r="6" spans="1:6" x14ac:dyDescent="0.2">
      <c r="A6" s="7">
        <v>2017</v>
      </c>
      <c r="B6" s="5" t="s">
        <v>6</v>
      </c>
      <c r="C6" s="10">
        <v>17276</v>
      </c>
      <c r="D6" s="10">
        <v>62803</v>
      </c>
      <c r="E6" s="10">
        <v>3963</v>
      </c>
      <c r="F6" s="10">
        <f t="shared" si="1"/>
        <v>84042</v>
      </c>
    </row>
    <row r="7" spans="1:6" x14ac:dyDescent="0.2">
      <c r="A7" s="7">
        <v>2017</v>
      </c>
      <c r="B7" s="5" t="s">
        <v>30</v>
      </c>
      <c r="C7" s="10">
        <v>9440</v>
      </c>
      <c r="D7" s="10">
        <v>43205</v>
      </c>
      <c r="E7" s="10">
        <v>0</v>
      </c>
      <c r="F7" s="10">
        <f t="shared" si="1"/>
        <v>52645</v>
      </c>
    </row>
    <row r="8" spans="1:6" x14ac:dyDescent="0.2">
      <c r="A8" s="7">
        <v>2017</v>
      </c>
      <c r="B8" s="5" t="s">
        <v>7</v>
      </c>
      <c r="C8" s="10">
        <v>35911</v>
      </c>
      <c r="D8" s="10">
        <v>57891</v>
      </c>
      <c r="E8" s="10">
        <v>3036</v>
      </c>
      <c r="F8" s="10">
        <f t="shared" si="1"/>
        <v>96838</v>
      </c>
    </row>
    <row r="9" spans="1:6" x14ac:dyDescent="0.2">
      <c r="A9" s="7">
        <v>2017</v>
      </c>
      <c r="B9" s="5" t="s">
        <v>8</v>
      </c>
      <c r="C9" s="10">
        <v>40978</v>
      </c>
      <c r="D9" s="10">
        <v>186733</v>
      </c>
      <c r="E9" s="10">
        <v>7062</v>
      </c>
      <c r="F9" s="10">
        <f t="shared" si="1"/>
        <v>234773</v>
      </c>
    </row>
    <row r="10" spans="1:6" x14ac:dyDescent="0.2">
      <c r="A10" s="7">
        <v>2017</v>
      </c>
      <c r="B10" s="5" t="s">
        <v>9</v>
      </c>
      <c r="C10" s="10">
        <v>39477</v>
      </c>
      <c r="D10" s="10">
        <v>125316</v>
      </c>
      <c r="E10" s="10">
        <v>4228</v>
      </c>
      <c r="F10" s="10">
        <f t="shared" si="1"/>
        <v>169021</v>
      </c>
    </row>
    <row r="11" spans="1:6" x14ac:dyDescent="0.2">
      <c r="A11" s="7">
        <v>2017</v>
      </c>
      <c r="B11" s="5" t="s">
        <v>38</v>
      </c>
      <c r="C11" s="10">
        <v>302118</v>
      </c>
      <c r="D11" s="10">
        <v>572126</v>
      </c>
      <c r="E11" s="10">
        <v>10553</v>
      </c>
      <c r="F11" s="10">
        <f t="shared" si="1"/>
        <v>884797</v>
      </c>
    </row>
    <row r="12" spans="1:6" x14ac:dyDescent="0.2">
      <c r="A12" s="7">
        <v>2017</v>
      </c>
      <c r="B12" s="5" t="s">
        <v>10</v>
      </c>
      <c r="C12" s="10">
        <v>33454</v>
      </c>
      <c r="D12" s="10">
        <v>143149</v>
      </c>
      <c r="E12" s="10">
        <v>2824</v>
      </c>
      <c r="F12" s="10">
        <f t="shared" si="1"/>
        <v>179427</v>
      </c>
    </row>
    <row r="13" spans="1:6" x14ac:dyDescent="0.2">
      <c r="A13" s="7">
        <v>2017</v>
      </c>
      <c r="B13" s="5" t="s">
        <v>11</v>
      </c>
      <c r="C13" s="10">
        <v>187018</v>
      </c>
      <c r="D13" s="10">
        <v>563902</v>
      </c>
      <c r="E13" s="10">
        <v>31407</v>
      </c>
      <c r="F13" s="10">
        <f t="shared" si="1"/>
        <v>782327</v>
      </c>
    </row>
    <row r="14" spans="1:6" x14ac:dyDescent="0.2">
      <c r="A14" s="7">
        <v>2017</v>
      </c>
      <c r="B14" s="5" t="s">
        <v>12</v>
      </c>
      <c r="C14" s="10">
        <v>44850</v>
      </c>
      <c r="D14" s="10">
        <v>115803</v>
      </c>
      <c r="E14" s="10">
        <v>39</v>
      </c>
      <c r="F14" s="10">
        <f t="shared" si="1"/>
        <v>160692</v>
      </c>
    </row>
    <row r="15" spans="1:6" x14ac:dyDescent="0.2">
      <c r="A15" s="7">
        <v>2017</v>
      </c>
      <c r="B15" s="5" t="s">
        <v>13</v>
      </c>
      <c r="C15" s="10">
        <v>145243</v>
      </c>
      <c r="D15" s="10">
        <v>117615</v>
      </c>
      <c r="E15" s="10">
        <v>4763</v>
      </c>
      <c r="F15" s="10">
        <f t="shared" si="1"/>
        <v>267621</v>
      </c>
    </row>
    <row r="16" spans="1:6" x14ac:dyDescent="0.2">
      <c r="A16" s="7">
        <v>2017</v>
      </c>
      <c r="B16" s="5" t="s">
        <v>14</v>
      </c>
      <c r="C16" s="10">
        <v>222600</v>
      </c>
      <c r="D16" s="10">
        <v>309763</v>
      </c>
      <c r="E16" s="10">
        <v>711</v>
      </c>
      <c r="F16" s="10">
        <f t="shared" si="1"/>
        <v>533074</v>
      </c>
    </row>
    <row r="17" spans="1:6" x14ac:dyDescent="0.2">
      <c r="A17" s="7">
        <v>2017</v>
      </c>
      <c r="B17" s="5" t="s">
        <v>15</v>
      </c>
      <c r="C17" s="10">
        <v>285482</v>
      </c>
      <c r="D17" s="10">
        <v>836560</v>
      </c>
      <c r="E17" s="10">
        <v>1993</v>
      </c>
      <c r="F17" s="10">
        <f t="shared" si="1"/>
        <v>1124035</v>
      </c>
    </row>
    <row r="18" spans="1:6" x14ac:dyDescent="0.2">
      <c r="A18" s="7">
        <v>2017</v>
      </c>
      <c r="B18" s="5" t="s">
        <v>31</v>
      </c>
      <c r="C18" s="10">
        <v>96547</v>
      </c>
      <c r="D18" s="10">
        <v>215908</v>
      </c>
      <c r="E18" s="10">
        <v>2106</v>
      </c>
      <c r="F18" s="10">
        <f t="shared" si="1"/>
        <v>314561</v>
      </c>
    </row>
    <row r="19" spans="1:6" x14ac:dyDescent="0.2">
      <c r="A19" s="7">
        <v>2017</v>
      </c>
      <c r="B19" s="5" t="s">
        <v>16</v>
      </c>
      <c r="C19" s="10">
        <v>89151</v>
      </c>
      <c r="D19" s="10">
        <v>108786</v>
      </c>
      <c r="E19" s="10">
        <v>875</v>
      </c>
      <c r="F19" s="10">
        <f t="shared" si="1"/>
        <v>198812</v>
      </c>
    </row>
    <row r="20" spans="1:6" x14ac:dyDescent="0.2">
      <c r="A20" s="7">
        <v>2017</v>
      </c>
      <c r="B20" s="5" t="s">
        <v>17</v>
      </c>
      <c r="C20" s="10">
        <v>24771</v>
      </c>
      <c r="D20" s="10">
        <v>41547</v>
      </c>
      <c r="E20" s="10">
        <v>76</v>
      </c>
      <c r="F20" s="10">
        <f t="shared" si="1"/>
        <v>66394</v>
      </c>
    </row>
    <row r="21" spans="1:6" x14ac:dyDescent="0.2">
      <c r="A21" s="7">
        <v>2017</v>
      </c>
      <c r="B21" s="5" t="s">
        <v>18</v>
      </c>
      <c r="C21" s="10">
        <v>64393</v>
      </c>
      <c r="D21" s="10">
        <v>211697</v>
      </c>
      <c r="E21" s="10">
        <v>1656</v>
      </c>
      <c r="F21" s="10">
        <f t="shared" si="1"/>
        <v>277746</v>
      </c>
    </row>
    <row r="22" spans="1:6" x14ac:dyDescent="0.2">
      <c r="A22" s="7">
        <v>2017</v>
      </c>
      <c r="B22" s="5" t="s">
        <v>19</v>
      </c>
      <c r="C22" s="10">
        <v>46266</v>
      </c>
      <c r="D22" s="10">
        <v>113695</v>
      </c>
      <c r="E22" s="10">
        <v>661</v>
      </c>
      <c r="F22" s="10">
        <f t="shared" si="1"/>
        <v>160622</v>
      </c>
    </row>
    <row r="23" spans="1:6" x14ac:dyDescent="0.2">
      <c r="A23" s="7">
        <v>2017</v>
      </c>
      <c r="B23" s="5" t="s">
        <v>20</v>
      </c>
      <c r="C23" s="10">
        <v>107698</v>
      </c>
      <c r="D23" s="10">
        <v>364797</v>
      </c>
      <c r="E23" s="10">
        <v>11690</v>
      </c>
      <c r="F23" s="10">
        <f t="shared" si="1"/>
        <v>484185</v>
      </c>
    </row>
    <row r="24" spans="1:6" x14ac:dyDescent="0.2">
      <c r="A24" s="7">
        <v>2017</v>
      </c>
      <c r="B24" s="5" t="s">
        <v>32</v>
      </c>
      <c r="C24" s="10">
        <v>102732</v>
      </c>
      <c r="D24" s="10">
        <v>60096</v>
      </c>
      <c r="E24" s="10">
        <v>27</v>
      </c>
      <c r="F24" s="10">
        <f t="shared" si="1"/>
        <v>162855</v>
      </c>
    </row>
    <row r="25" spans="1:6" x14ac:dyDescent="0.2">
      <c r="A25" s="7">
        <v>2017</v>
      </c>
      <c r="B25" s="5" t="s">
        <v>21</v>
      </c>
      <c r="C25" s="10">
        <v>9634</v>
      </c>
      <c r="D25" s="10">
        <v>80334</v>
      </c>
      <c r="E25" s="10">
        <v>7632</v>
      </c>
      <c r="F25" s="10">
        <f t="shared" si="1"/>
        <v>97600</v>
      </c>
    </row>
    <row r="26" spans="1:6" x14ac:dyDescent="0.2">
      <c r="A26" s="7">
        <v>2017</v>
      </c>
      <c r="B26" s="5" t="s">
        <v>22</v>
      </c>
      <c r="C26" s="10">
        <v>61187</v>
      </c>
      <c r="D26" s="10">
        <v>141393</v>
      </c>
      <c r="E26" s="10">
        <v>10100</v>
      </c>
      <c r="F26" s="10">
        <f t="shared" si="1"/>
        <v>212680</v>
      </c>
    </row>
    <row r="27" spans="1:6" x14ac:dyDescent="0.2">
      <c r="A27" s="7">
        <v>2017</v>
      </c>
      <c r="B27" s="5" t="s">
        <v>23</v>
      </c>
      <c r="C27" s="10">
        <v>106229</v>
      </c>
      <c r="D27" s="10">
        <v>118536</v>
      </c>
      <c r="E27" s="10">
        <v>195</v>
      </c>
      <c r="F27" s="10">
        <f t="shared" si="1"/>
        <v>224960</v>
      </c>
    </row>
    <row r="28" spans="1:6" x14ac:dyDescent="0.2">
      <c r="A28" s="7">
        <v>2017</v>
      </c>
      <c r="B28" s="5" t="s">
        <v>24</v>
      </c>
      <c r="C28" s="10">
        <v>61567</v>
      </c>
      <c r="D28" s="10">
        <v>251750</v>
      </c>
      <c r="E28" s="10">
        <v>1023</v>
      </c>
      <c r="F28" s="10">
        <f t="shared" si="1"/>
        <v>314340</v>
      </c>
    </row>
    <row r="29" spans="1:6" x14ac:dyDescent="0.2">
      <c r="A29" s="7">
        <v>2017</v>
      </c>
      <c r="B29" s="5" t="s">
        <v>25</v>
      </c>
      <c r="C29" s="10">
        <v>46035</v>
      </c>
      <c r="D29" s="10">
        <v>145973</v>
      </c>
      <c r="E29" s="10">
        <v>3</v>
      </c>
      <c r="F29" s="10">
        <f t="shared" si="1"/>
        <v>192011</v>
      </c>
    </row>
    <row r="30" spans="1:6" x14ac:dyDescent="0.2">
      <c r="A30" s="7">
        <v>2017</v>
      </c>
      <c r="B30" s="5" t="s">
        <v>26</v>
      </c>
      <c r="C30" s="10">
        <v>41573</v>
      </c>
      <c r="D30" s="10">
        <v>199845</v>
      </c>
      <c r="E30" s="10">
        <v>20697</v>
      </c>
      <c r="F30" s="10">
        <f t="shared" si="1"/>
        <v>262115</v>
      </c>
    </row>
    <row r="31" spans="1:6" x14ac:dyDescent="0.2">
      <c r="A31" s="7">
        <v>2017</v>
      </c>
      <c r="B31" s="5" t="s">
        <v>27</v>
      </c>
      <c r="C31" s="10">
        <v>17676</v>
      </c>
      <c r="D31" s="10">
        <v>87261</v>
      </c>
      <c r="E31" s="10">
        <v>208</v>
      </c>
      <c r="F31" s="10">
        <f t="shared" si="1"/>
        <v>105145</v>
      </c>
    </row>
    <row r="32" spans="1:6" x14ac:dyDescent="0.2">
      <c r="A32" s="7">
        <v>2017</v>
      </c>
      <c r="B32" s="5" t="s">
        <v>33</v>
      </c>
      <c r="C32" s="10">
        <v>106652</v>
      </c>
      <c r="D32" s="10">
        <v>345020</v>
      </c>
      <c r="E32" s="10">
        <v>23597</v>
      </c>
      <c r="F32" s="10">
        <f t="shared" si="1"/>
        <v>475269</v>
      </c>
    </row>
    <row r="33" spans="1:6" x14ac:dyDescent="0.2">
      <c r="A33" s="7">
        <v>2017</v>
      </c>
      <c r="B33" s="5" t="s">
        <v>28</v>
      </c>
      <c r="C33" s="10">
        <v>14841</v>
      </c>
      <c r="D33" s="10">
        <v>34849</v>
      </c>
      <c r="E33" s="10">
        <v>2258</v>
      </c>
      <c r="F33" s="10">
        <f t="shared" si="1"/>
        <v>51948</v>
      </c>
    </row>
    <row r="34" spans="1:6" x14ac:dyDescent="0.2">
      <c r="A34" s="7">
        <v>2017</v>
      </c>
      <c r="B34" s="5" t="s">
        <v>29</v>
      </c>
      <c r="C34" s="10">
        <v>88813</v>
      </c>
      <c r="D34" s="10">
        <v>179521</v>
      </c>
      <c r="E34" s="10">
        <v>1393</v>
      </c>
      <c r="F34" s="10">
        <f t="shared" ref="F34:F131" si="2">SUM(C34:E34)</f>
        <v>269727</v>
      </c>
    </row>
    <row r="35" spans="1:6" x14ac:dyDescent="0.2">
      <c r="A35" s="8">
        <v>2018</v>
      </c>
      <c r="B35" s="6" t="s">
        <v>2</v>
      </c>
      <c r="C35" s="9">
        <f>SUM(C36:C67)</f>
        <v>2533974</v>
      </c>
      <c r="D35" s="9">
        <f t="shared" ref="D35:E35" si="3">SUM(D36:D67)</f>
        <v>5743380</v>
      </c>
      <c r="E35" s="9">
        <f t="shared" si="3"/>
        <v>95811</v>
      </c>
      <c r="F35" s="9">
        <f t="shared" si="2"/>
        <v>8373165</v>
      </c>
    </row>
    <row r="36" spans="1:6" x14ac:dyDescent="0.2">
      <c r="A36" s="7">
        <v>2018</v>
      </c>
      <c r="B36" s="5" t="s">
        <v>3</v>
      </c>
      <c r="C36" s="10">
        <v>85577</v>
      </c>
      <c r="D36" s="10">
        <v>66463</v>
      </c>
      <c r="E36" s="10">
        <v>447</v>
      </c>
      <c r="F36" s="10">
        <f t="shared" si="2"/>
        <v>152487</v>
      </c>
    </row>
    <row r="37" spans="1:6" x14ac:dyDescent="0.2">
      <c r="A37" s="7">
        <v>2018</v>
      </c>
      <c r="B37" s="5" t="s">
        <v>4</v>
      </c>
      <c r="C37" s="10">
        <v>54453</v>
      </c>
      <c r="D37" s="10">
        <v>120008</v>
      </c>
      <c r="E37" s="10">
        <v>3475</v>
      </c>
      <c r="F37" s="10">
        <f t="shared" si="2"/>
        <v>177936</v>
      </c>
    </row>
    <row r="38" spans="1:6" x14ac:dyDescent="0.2">
      <c r="A38" s="7">
        <v>2018</v>
      </c>
      <c r="B38" s="5" t="s">
        <v>5</v>
      </c>
      <c r="C38" s="10">
        <v>12212</v>
      </c>
      <c r="D38" s="10">
        <v>74848</v>
      </c>
      <c r="E38" s="10">
        <v>101</v>
      </c>
      <c r="F38" s="10">
        <f t="shared" si="2"/>
        <v>87161</v>
      </c>
    </row>
    <row r="39" spans="1:6" x14ac:dyDescent="0.2">
      <c r="A39" s="7">
        <v>2018</v>
      </c>
      <c r="B39" s="5" t="s">
        <v>6</v>
      </c>
      <c r="C39" s="10">
        <v>14055</v>
      </c>
      <c r="D39" s="10">
        <v>59064</v>
      </c>
      <c r="E39" s="10">
        <v>984</v>
      </c>
      <c r="F39" s="10">
        <f t="shared" si="2"/>
        <v>74103</v>
      </c>
    </row>
    <row r="40" spans="1:6" x14ac:dyDescent="0.2">
      <c r="A40" s="7">
        <v>2018</v>
      </c>
      <c r="B40" s="5" t="s">
        <v>30</v>
      </c>
      <c r="C40" s="10">
        <v>11163</v>
      </c>
      <c r="D40" s="10">
        <v>43388</v>
      </c>
      <c r="E40" s="10">
        <v>806</v>
      </c>
      <c r="F40" s="10">
        <f t="shared" si="2"/>
        <v>55357</v>
      </c>
    </row>
    <row r="41" spans="1:6" x14ac:dyDescent="0.2">
      <c r="A41" s="7">
        <v>2018</v>
      </c>
      <c r="B41" s="5" t="s">
        <v>7</v>
      </c>
      <c r="C41" s="10">
        <v>38912</v>
      </c>
      <c r="D41" s="10">
        <v>54352</v>
      </c>
      <c r="E41" s="10">
        <v>2740</v>
      </c>
      <c r="F41" s="10">
        <f t="shared" si="2"/>
        <v>96004</v>
      </c>
    </row>
    <row r="42" spans="1:6" x14ac:dyDescent="0.2">
      <c r="A42" s="7">
        <v>2018</v>
      </c>
      <c r="B42" s="5" t="s">
        <v>8</v>
      </c>
      <c r="C42" s="10">
        <v>38419</v>
      </c>
      <c r="D42" s="10">
        <v>150624</v>
      </c>
      <c r="E42" s="10">
        <v>2883</v>
      </c>
      <c r="F42" s="10">
        <f t="shared" si="2"/>
        <v>191926</v>
      </c>
    </row>
    <row r="43" spans="1:6" x14ac:dyDescent="0.2">
      <c r="A43" s="7">
        <v>2018</v>
      </c>
      <c r="B43" s="5" t="s">
        <v>9</v>
      </c>
      <c r="C43" s="10">
        <v>37139</v>
      </c>
      <c r="D43" s="10">
        <v>144711</v>
      </c>
      <c r="E43" s="10">
        <v>0</v>
      </c>
      <c r="F43" s="10">
        <f t="shared" si="2"/>
        <v>181850</v>
      </c>
    </row>
    <row r="44" spans="1:6" x14ac:dyDescent="0.2">
      <c r="A44" s="7">
        <v>2018</v>
      </c>
      <c r="B44" s="5" t="s">
        <v>38</v>
      </c>
      <c r="C44" s="10">
        <v>367112</v>
      </c>
      <c r="D44" s="10">
        <v>583525</v>
      </c>
      <c r="E44" s="10">
        <v>2069</v>
      </c>
      <c r="F44" s="10">
        <f t="shared" si="2"/>
        <v>952706</v>
      </c>
    </row>
    <row r="45" spans="1:6" x14ac:dyDescent="0.2">
      <c r="A45" s="7">
        <v>2018</v>
      </c>
      <c r="B45" s="5" t="s">
        <v>10</v>
      </c>
      <c r="C45" s="10">
        <v>45356</v>
      </c>
      <c r="D45" s="10">
        <v>131385</v>
      </c>
      <c r="E45" s="10">
        <v>28</v>
      </c>
      <c r="F45" s="10">
        <f t="shared" si="2"/>
        <v>176769</v>
      </c>
    </row>
    <row r="46" spans="1:6" x14ac:dyDescent="0.2">
      <c r="A46" s="7">
        <v>2018</v>
      </c>
      <c r="B46" s="5" t="s">
        <v>11</v>
      </c>
      <c r="C46" s="10">
        <v>196408</v>
      </c>
      <c r="D46" s="10">
        <v>574356</v>
      </c>
      <c r="E46" s="10">
        <v>0</v>
      </c>
      <c r="F46" s="10">
        <f t="shared" si="2"/>
        <v>770764</v>
      </c>
    </row>
    <row r="47" spans="1:6" x14ac:dyDescent="0.2">
      <c r="A47" s="7">
        <v>2018</v>
      </c>
      <c r="B47" s="5" t="s">
        <v>12</v>
      </c>
      <c r="C47" s="10">
        <v>43735</v>
      </c>
      <c r="D47" s="10">
        <v>99535</v>
      </c>
      <c r="E47" s="10">
        <v>22</v>
      </c>
      <c r="F47" s="10">
        <f t="shared" si="2"/>
        <v>143292</v>
      </c>
    </row>
    <row r="48" spans="1:6" x14ac:dyDescent="0.2">
      <c r="A48" s="7">
        <v>2018</v>
      </c>
      <c r="B48" s="5" t="s">
        <v>13</v>
      </c>
      <c r="C48" s="10">
        <v>126652</v>
      </c>
      <c r="D48" s="10">
        <v>97557</v>
      </c>
      <c r="E48" s="10">
        <v>6764</v>
      </c>
      <c r="F48" s="10">
        <f t="shared" si="2"/>
        <v>230973</v>
      </c>
    </row>
    <row r="49" spans="1:6" x14ac:dyDescent="0.2">
      <c r="A49" s="7">
        <v>2018</v>
      </c>
      <c r="B49" s="5" t="s">
        <v>14</v>
      </c>
      <c r="C49" s="10">
        <v>229768</v>
      </c>
      <c r="D49" s="10">
        <v>271280</v>
      </c>
      <c r="E49" s="10">
        <v>251</v>
      </c>
      <c r="F49" s="10">
        <f t="shared" si="2"/>
        <v>501299</v>
      </c>
    </row>
    <row r="50" spans="1:6" x14ac:dyDescent="0.2">
      <c r="A50" s="7">
        <v>2018</v>
      </c>
      <c r="B50" s="5" t="s">
        <v>15</v>
      </c>
      <c r="C50" s="10">
        <v>329242</v>
      </c>
      <c r="D50" s="10">
        <v>718494</v>
      </c>
      <c r="E50" s="10">
        <v>1883</v>
      </c>
      <c r="F50" s="10">
        <f t="shared" si="2"/>
        <v>1049619</v>
      </c>
    </row>
    <row r="51" spans="1:6" x14ac:dyDescent="0.2">
      <c r="A51" s="7">
        <v>2018</v>
      </c>
      <c r="B51" s="5" t="s">
        <v>31</v>
      </c>
      <c r="C51" s="10">
        <v>65289</v>
      </c>
      <c r="D51" s="10">
        <v>153850</v>
      </c>
      <c r="E51" s="10">
        <v>155</v>
      </c>
      <c r="F51" s="10">
        <f t="shared" si="2"/>
        <v>219294</v>
      </c>
    </row>
    <row r="52" spans="1:6" x14ac:dyDescent="0.2">
      <c r="A52" s="7">
        <v>2018</v>
      </c>
      <c r="B52" s="5" t="s">
        <v>16</v>
      </c>
      <c r="C52" s="10">
        <v>52418</v>
      </c>
      <c r="D52" s="10">
        <v>104698</v>
      </c>
      <c r="E52" s="10">
        <v>275</v>
      </c>
      <c r="F52" s="10">
        <f t="shared" si="2"/>
        <v>157391</v>
      </c>
    </row>
    <row r="53" spans="1:6" x14ac:dyDescent="0.2">
      <c r="A53" s="7">
        <v>2018</v>
      </c>
      <c r="B53" s="5" t="s">
        <v>17</v>
      </c>
      <c r="C53" s="10">
        <v>24629</v>
      </c>
      <c r="D53" s="10">
        <v>36588</v>
      </c>
      <c r="E53" s="10">
        <v>1</v>
      </c>
      <c r="F53" s="10">
        <f t="shared" si="2"/>
        <v>61218</v>
      </c>
    </row>
    <row r="54" spans="1:6" x14ac:dyDescent="0.2">
      <c r="A54" s="7">
        <v>2018</v>
      </c>
      <c r="B54" s="5" t="s">
        <v>18</v>
      </c>
      <c r="C54" s="10">
        <v>50049</v>
      </c>
      <c r="D54" s="10">
        <v>170546</v>
      </c>
      <c r="E54" s="10">
        <v>440</v>
      </c>
      <c r="F54" s="10">
        <f t="shared" si="2"/>
        <v>221035</v>
      </c>
    </row>
    <row r="55" spans="1:6" x14ac:dyDescent="0.2">
      <c r="A55" s="7">
        <v>2018</v>
      </c>
      <c r="B55" s="5" t="s">
        <v>19</v>
      </c>
      <c r="C55" s="10">
        <v>48367</v>
      </c>
      <c r="D55" s="10">
        <v>126488</v>
      </c>
      <c r="E55" s="10">
        <v>77</v>
      </c>
      <c r="F55" s="10">
        <f t="shared" si="2"/>
        <v>174932</v>
      </c>
    </row>
    <row r="56" spans="1:6" x14ac:dyDescent="0.2">
      <c r="A56" s="7">
        <v>2018</v>
      </c>
      <c r="B56" s="5" t="s">
        <v>20</v>
      </c>
      <c r="C56" s="10">
        <v>78837</v>
      </c>
      <c r="D56" s="10">
        <v>371179</v>
      </c>
      <c r="E56" s="10">
        <v>9950</v>
      </c>
      <c r="F56" s="10">
        <f t="shared" si="2"/>
        <v>459966</v>
      </c>
    </row>
    <row r="57" spans="1:6" x14ac:dyDescent="0.2">
      <c r="A57" s="7">
        <v>2018</v>
      </c>
      <c r="B57" s="5" t="s">
        <v>32</v>
      </c>
      <c r="C57" s="10">
        <v>88806</v>
      </c>
      <c r="D57" s="10">
        <v>55510</v>
      </c>
      <c r="E57" s="10">
        <v>8</v>
      </c>
      <c r="F57" s="10">
        <f t="shared" si="2"/>
        <v>144324</v>
      </c>
    </row>
    <row r="58" spans="1:6" x14ac:dyDescent="0.2">
      <c r="A58" s="7">
        <v>2018</v>
      </c>
      <c r="B58" s="5" t="s">
        <v>21</v>
      </c>
      <c r="C58" s="10">
        <v>11653</v>
      </c>
      <c r="D58" s="10">
        <v>60127</v>
      </c>
      <c r="E58" s="10">
        <v>6064</v>
      </c>
      <c r="F58" s="10">
        <f t="shared" si="2"/>
        <v>77844</v>
      </c>
    </row>
    <row r="59" spans="1:6" x14ac:dyDescent="0.2">
      <c r="A59" s="7">
        <v>2018</v>
      </c>
      <c r="B59" s="5" t="s">
        <v>22</v>
      </c>
      <c r="C59" s="10">
        <v>52651</v>
      </c>
      <c r="D59" s="10">
        <v>130996</v>
      </c>
      <c r="E59" s="10">
        <v>3273</v>
      </c>
      <c r="F59" s="10">
        <f t="shared" si="2"/>
        <v>186920</v>
      </c>
    </row>
    <row r="60" spans="1:6" x14ac:dyDescent="0.2">
      <c r="A60" s="7">
        <v>2018</v>
      </c>
      <c r="B60" s="5" t="s">
        <v>23</v>
      </c>
      <c r="C60" s="10">
        <v>85817</v>
      </c>
      <c r="D60" s="10">
        <v>160148</v>
      </c>
      <c r="E60" s="10">
        <v>55</v>
      </c>
      <c r="F60" s="10">
        <f t="shared" si="2"/>
        <v>246020</v>
      </c>
    </row>
    <row r="61" spans="1:6" x14ac:dyDescent="0.2">
      <c r="A61" s="7">
        <v>2018</v>
      </c>
      <c r="B61" s="5" t="s">
        <v>24</v>
      </c>
      <c r="C61" s="10">
        <v>51213</v>
      </c>
      <c r="D61" s="10">
        <v>204216</v>
      </c>
      <c r="E61" s="10">
        <v>292</v>
      </c>
      <c r="F61" s="10">
        <f t="shared" si="2"/>
        <v>255721</v>
      </c>
    </row>
    <row r="62" spans="1:6" x14ac:dyDescent="0.2">
      <c r="A62" s="7">
        <v>2018</v>
      </c>
      <c r="B62" s="5" t="s">
        <v>25</v>
      </c>
      <c r="C62" s="10">
        <v>51228</v>
      </c>
      <c r="D62" s="10">
        <v>133155</v>
      </c>
      <c r="E62" s="10">
        <v>4</v>
      </c>
      <c r="F62" s="10">
        <f t="shared" si="2"/>
        <v>184387</v>
      </c>
    </row>
    <row r="63" spans="1:6" x14ac:dyDescent="0.2">
      <c r="A63" s="7">
        <v>2018</v>
      </c>
      <c r="B63" s="5" t="s">
        <v>26</v>
      </c>
      <c r="C63" s="10">
        <v>36353</v>
      </c>
      <c r="D63" s="10">
        <v>191467</v>
      </c>
      <c r="E63" s="10">
        <v>26046</v>
      </c>
      <c r="F63" s="10">
        <f t="shared" si="2"/>
        <v>253866</v>
      </c>
    </row>
    <row r="64" spans="1:6" x14ac:dyDescent="0.2">
      <c r="A64" s="7">
        <v>2018</v>
      </c>
      <c r="B64" s="5" t="s">
        <v>27</v>
      </c>
      <c r="C64" s="10">
        <v>16524</v>
      </c>
      <c r="D64" s="10">
        <v>81480</v>
      </c>
      <c r="E64" s="10">
        <v>0</v>
      </c>
      <c r="F64" s="10">
        <f t="shared" si="2"/>
        <v>98004</v>
      </c>
    </row>
    <row r="65" spans="1:6" x14ac:dyDescent="0.2">
      <c r="A65" s="7">
        <v>2018</v>
      </c>
      <c r="B65" s="5" t="s">
        <v>33</v>
      </c>
      <c r="C65" s="10">
        <v>103850</v>
      </c>
      <c r="D65" s="10">
        <v>373715</v>
      </c>
      <c r="E65" s="10">
        <v>23427</v>
      </c>
      <c r="F65" s="10">
        <f t="shared" si="2"/>
        <v>500992</v>
      </c>
    </row>
    <row r="66" spans="1:6" x14ac:dyDescent="0.2">
      <c r="A66" s="7">
        <v>2018</v>
      </c>
      <c r="B66" s="5" t="s">
        <v>28</v>
      </c>
      <c r="C66" s="10">
        <v>14213</v>
      </c>
      <c r="D66" s="10">
        <v>26738</v>
      </c>
      <c r="E66" s="10">
        <v>178</v>
      </c>
      <c r="F66" s="10">
        <f t="shared" si="2"/>
        <v>41129</v>
      </c>
    </row>
    <row r="67" spans="1:6" x14ac:dyDescent="0.2">
      <c r="A67" s="7">
        <v>2018</v>
      </c>
      <c r="B67" s="5" t="s">
        <v>29</v>
      </c>
      <c r="C67" s="10">
        <v>71874</v>
      </c>
      <c r="D67" s="10">
        <v>172889</v>
      </c>
      <c r="E67" s="10">
        <v>3113</v>
      </c>
      <c r="F67" s="10">
        <f t="shared" ref="F67" si="4">SUM(C67:E67)</f>
        <v>247876</v>
      </c>
    </row>
    <row r="68" spans="1:6" x14ac:dyDescent="0.2">
      <c r="A68" s="8">
        <v>2019</v>
      </c>
      <c r="B68" s="6" t="s">
        <v>2</v>
      </c>
      <c r="C68" s="9">
        <f>SUM(C69:C100)</f>
        <v>2614477</v>
      </c>
      <c r="D68" s="9">
        <f t="shared" ref="D68:E68" si="5">SUM(D69:D100)</f>
        <v>6165171</v>
      </c>
      <c r="E68" s="9">
        <f t="shared" si="5"/>
        <v>64953</v>
      </c>
      <c r="F68" s="9">
        <f t="shared" si="2"/>
        <v>8844601</v>
      </c>
    </row>
    <row r="69" spans="1:6" x14ac:dyDescent="0.2">
      <c r="A69" s="7">
        <v>2019</v>
      </c>
      <c r="B69" s="5" t="s">
        <v>3</v>
      </c>
      <c r="C69" s="10">
        <v>66758</v>
      </c>
      <c r="D69" s="10">
        <v>58620</v>
      </c>
      <c r="E69" s="10">
        <v>382</v>
      </c>
      <c r="F69" s="10">
        <f t="shared" si="2"/>
        <v>125760</v>
      </c>
    </row>
    <row r="70" spans="1:6" x14ac:dyDescent="0.2">
      <c r="A70" s="7">
        <v>2019</v>
      </c>
      <c r="B70" s="5" t="s">
        <v>4</v>
      </c>
      <c r="C70" s="10">
        <v>71168</v>
      </c>
      <c r="D70" s="10">
        <v>134728</v>
      </c>
      <c r="E70" s="10">
        <v>808</v>
      </c>
      <c r="F70" s="10">
        <f t="shared" si="2"/>
        <v>206704</v>
      </c>
    </row>
    <row r="71" spans="1:6" x14ac:dyDescent="0.2">
      <c r="A71" s="7">
        <v>2019</v>
      </c>
      <c r="B71" s="5" t="s">
        <v>5</v>
      </c>
      <c r="C71" s="10">
        <v>13016</v>
      </c>
      <c r="D71" s="10">
        <v>68476</v>
      </c>
      <c r="E71" s="10">
        <v>62</v>
      </c>
      <c r="F71" s="10">
        <f t="shared" si="2"/>
        <v>81554</v>
      </c>
    </row>
    <row r="72" spans="1:6" x14ac:dyDescent="0.2">
      <c r="A72" s="7">
        <v>2019</v>
      </c>
      <c r="B72" s="5" t="s">
        <v>6</v>
      </c>
      <c r="C72" s="10">
        <v>10445</v>
      </c>
      <c r="D72" s="10">
        <v>66648</v>
      </c>
      <c r="E72" s="10">
        <v>0</v>
      </c>
      <c r="F72" s="10">
        <f t="shared" si="2"/>
        <v>77093</v>
      </c>
    </row>
    <row r="73" spans="1:6" x14ac:dyDescent="0.2">
      <c r="A73" s="7">
        <v>2019</v>
      </c>
      <c r="B73" s="5" t="s">
        <v>30</v>
      </c>
      <c r="C73" s="10">
        <v>22833</v>
      </c>
      <c r="D73" s="10">
        <v>66458</v>
      </c>
      <c r="E73" s="10">
        <v>0</v>
      </c>
      <c r="F73" s="10">
        <f t="shared" si="2"/>
        <v>89291</v>
      </c>
    </row>
    <row r="74" spans="1:6" x14ac:dyDescent="0.2">
      <c r="A74" s="7">
        <v>2019</v>
      </c>
      <c r="B74" s="5" t="s">
        <v>7</v>
      </c>
      <c r="C74" s="10">
        <v>23155</v>
      </c>
      <c r="D74" s="10">
        <v>40659</v>
      </c>
      <c r="E74" s="10">
        <v>1629</v>
      </c>
      <c r="F74" s="10">
        <f t="shared" si="2"/>
        <v>65443</v>
      </c>
    </row>
    <row r="75" spans="1:6" x14ac:dyDescent="0.2">
      <c r="A75" s="7">
        <v>2019</v>
      </c>
      <c r="B75" s="5" t="s">
        <v>8</v>
      </c>
      <c r="C75" s="10">
        <v>53696</v>
      </c>
      <c r="D75" s="10">
        <v>212764</v>
      </c>
      <c r="E75" s="10">
        <v>11</v>
      </c>
      <c r="F75" s="10">
        <f t="shared" si="2"/>
        <v>266471</v>
      </c>
    </row>
    <row r="76" spans="1:6" x14ac:dyDescent="0.2">
      <c r="A76" s="7">
        <v>2019</v>
      </c>
      <c r="B76" s="5" t="s">
        <v>9</v>
      </c>
      <c r="C76" s="10">
        <v>39162</v>
      </c>
      <c r="D76" s="10">
        <v>147300</v>
      </c>
      <c r="E76" s="10">
        <v>0</v>
      </c>
      <c r="F76" s="10">
        <f t="shared" si="2"/>
        <v>186462</v>
      </c>
    </row>
    <row r="77" spans="1:6" x14ac:dyDescent="0.2">
      <c r="A77" s="7">
        <v>2019</v>
      </c>
      <c r="B77" s="5" t="s">
        <v>38</v>
      </c>
      <c r="C77" s="10">
        <v>360013</v>
      </c>
      <c r="D77" s="10">
        <v>569285</v>
      </c>
      <c r="E77" s="10">
        <v>449</v>
      </c>
      <c r="F77" s="10">
        <f t="shared" si="2"/>
        <v>929747</v>
      </c>
    </row>
    <row r="78" spans="1:6" x14ac:dyDescent="0.2">
      <c r="A78" s="7">
        <v>2019</v>
      </c>
      <c r="B78" s="5" t="s">
        <v>10</v>
      </c>
      <c r="C78" s="10">
        <v>48933</v>
      </c>
      <c r="D78" s="10">
        <v>148203</v>
      </c>
      <c r="E78" s="10">
        <v>30</v>
      </c>
      <c r="F78" s="10">
        <f t="shared" si="2"/>
        <v>197166</v>
      </c>
    </row>
    <row r="79" spans="1:6" x14ac:dyDescent="0.2">
      <c r="A79" s="7">
        <v>2019</v>
      </c>
      <c r="B79" s="5" t="s">
        <v>11</v>
      </c>
      <c r="C79" s="10">
        <v>225389</v>
      </c>
      <c r="D79" s="10">
        <v>609772</v>
      </c>
      <c r="E79" s="10">
        <v>0</v>
      </c>
      <c r="F79" s="10">
        <f t="shared" si="2"/>
        <v>835161</v>
      </c>
    </row>
    <row r="80" spans="1:6" x14ac:dyDescent="0.2">
      <c r="A80" s="7">
        <v>2019</v>
      </c>
      <c r="B80" s="5" t="s">
        <v>12</v>
      </c>
      <c r="C80" s="10">
        <v>45664</v>
      </c>
      <c r="D80" s="10">
        <v>130773</v>
      </c>
      <c r="E80" s="10">
        <v>1</v>
      </c>
      <c r="F80" s="10">
        <f t="shared" si="2"/>
        <v>176438</v>
      </c>
    </row>
    <row r="81" spans="1:6" x14ac:dyDescent="0.2">
      <c r="A81" s="7">
        <v>2019</v>
      </c>
      <c r="B81" s="5" t="s">
        <v>13</v>
      </c>
      <c r="C81" s="10">
        <v>109478</v>
      </c>
      <c r="D81" s="10">
        <v>131989</v>
      </c>
      <c r="E81" s="10">
        <v>2461</v>
      </c>
      <c r="F81" s="10">
        <f t="shared" si="2"/>
        <v>243928</v>
      </c>
    </row>
    <row r="82" spans="1:6" x14ac:dyDescent="0.2">
      <c r="A82" s="7">
        <v>2019</v>
      </c>
      <c r="B82" s="5" t="s">
        <v>14</v>
      </c>
      <c r="C82" s="10">
        <v>266571</v>
      </c>
      <c r="D82" s="10">
        <v>303271</v>
      </c>
      <c r="E82" s="10">
        <v>108</v>
      </c>
      <c r="F82" s="10">
        <f t="shared" si="2"/>
        <v>569950</v>
      </c>
    </row>
    <row r="83" spans="1:6" x14ac:dyDescent="0.2">
      <c r="A83" s="7">
        <v>2019</v>
      </c>
      <c r="B83" s="5" t="s">
        <v>15</v>
      </c>
      <c r="C83" s="10">
        <v>313202</v>
      </c>
      <c r="D83" s="10">
        <v>716089</v>
      </c>
      <c r="E83" s="10">
        <v>1835</v>
      </c>
      <c r="F83" s="10">
        <f t="shared" si="2"/>
        <v>1031126</v>
      </c>
    </row>
    <row r="84" spans="1:6" x14ac:dyDescent="0.2">
      <c r="A84" s="7">
        <v>2019</v>
      </c>
      <c r="B84" s="5" t="s">
        <v>31</v>
      </c>
      <c r="C84" s="10">
        <v>71921</v>
      </c>
      <c r="D84" s="10">
        <v>164504</v>
      </c>
      <c r="E84" s="10">
        <v>0</v>
      </c>
      <c r="F84" s="10">
        <f t="shared" si="2"/>
        <v>236425</v>
      </c>
    </row>
    <row r="85" spans="1:6" x14ac:dyDescent="0.2">
      <c r="A85" s="7">
        <v>2019</v>
      </c>
      <c r="B85" s="5" t="s">
        <v>16</v>
      </c>
      <c r="C85" s="10">
        <v>49126</v>
      </c>
      <c r="D85" s="10">
        <v>118047</v>
      </c>
      <c r="E85" s="10">
        <v>49</v>
      </c>
      <c r="F85" s="10">
        <f t="shared" si="2"/>
        <v>167222</v>
      </c>
    </row>
    <row r="86" spans="1:6" x14ac:dyDescent="0.2">
      <c r="A86" s="7">
        <v>2019</v>
      </c>
      <c r="B86" s="5" t="s">
        <v>17</v>
      </c>
      <c r="C86" s="10">
        <v>27019</v>
      </c>
      <c r="D86" s="10">
        <v>43794</v>
      </c>
      <c r="E86" s="10">
        <v>0</v>
      </c>
      <c r="F86" s="10">
        <f t="shared" si="2"/>
        <v>70813</v>
      </c>
    </row>
    <row r="87" spans="1:6" x14ac:dyDescent="0.2">
      <c r="A87" s="7">
        <v>2019</v>
      </c>
      <c r="B87" s="5" t="s">
        <v>18</v>
      </c>
      <c r="C87" s="10">
        <v>54202</v>
      </c>
      <c r="D87" s="10">
        <v>175873</v>
      </c>
      <c r="E87" s="10">
        <v>101</v>
      </c>
      <c r="F87" s="10">
        <f t="shared" si="2"/>
        <v>230176</v>
      </c>
    </row>
    <row r="88" spans="1:6" x14ac:dyDescent="0.2">
      <c r="A88" s="7">
        <v>2019</v>
      </c>
      <c r="B88" s="5" t="s">
        <v>19</v>
      </c>
      <c r="C88" s="10">
        <v>55155</v>
      </c>
      <c r="D88" s="10">
        <v>131336</v>
      </c>
      <c r="E88" s="10">
        <v>43</v>
      </c>
      <c r="F88" s="10">
        <f t="shared" si="2"/>
        <v>186534</v>
      </c>
    </row>
    <row r="89" spans="1:6" x14ac:dyDescent="0.2">
      <c r="A89" s="7">
        <v>2019</v>
      </c>
      <c r="B89" s="5" t="s">
        <v>20</v>
      </c>
      <c r="C89" s="10">
        <v>89223</v>
      </c>
      <c r="D89" s="10">
        <v>364042</v>
      </c>
      <c r="E89" s="10">
        <v>8096</v>
      </c>
      <c r="F89" s="10">
        <f t="shared" si="2"/>
        <v>461361</v>
      </c>
    </row>
    <row r="90" spans="1:6" x14ac:dyDescent="0.2">
      <c r="A90" s="7">
        <v>2019</v>
      </c>
      <c r="B90" s="5" t="s">
        <v>32</v>
      </c>
      <c r="C90" s="10">
        <v>80529</v>
      </c>
      <c r="D90" s="10">
        <v>61260</v>
      </c>
      <c r="E90" s="10">
        <v>19</v>
      </c>
      <c r="F90" s="10">
        <f t="shared" si="2"/>
        <v>141808</v>
      </c>
    </row>
    <row r="91" spans="1:6" x14ac:dyDescent="0.2">
      <c r="A91" s="7">
        <v>2019</v>
      </c>
      <c r="B91" s="5" t="s">
        <v>21</v>
      </c>
      <c r="C91" s="10">
        <v>16402</v>
      </c>
      <c r="D91" s="10">
        <v>112730</v>
      </c>
      <c r="E91" s="10">
        <v>4881</v>
      </c>
      <c r="F91" s="10">
        <f t="shared" si="2"/>
        <v>134013</v>
      </c>
    </row>
    <row r="92" spans="1:6" x14ac:dyDescent="0.2">
      <c r="A92" s="7">
        <v>2019</v>
      </c>
      <c r="B92" s="5" t="s">
        <v>22</v>
      </c>
      <c r="C92" s="10">
        <v>46989</v>
      </c>
      <c r="D92" s="10">
        <v>136195</v>
      </c>
      <c r="E92" s="10">
        <v>979</v>
      </c>
      <c r="F92" s="10">
        <f t="shared" si="2"/>
        <v>184163</v>
      </c>
    </row>
    <row r="93" spans="1:6" x14ac:dyDescent="0.2">
      <c r="A93" s="7">
        <v>2019</v>
      </c>
      <c r="B93" s="5" t="s">
        <v>23</v>
      </c>
      <c r="C93" s="10">
        <v>78942</v>
      </c>
      <c r="D93" s="10">
        <v>162619</v>
      </c>
      <c r="E93" s="10">
        <v>32</v>
      </c>
      <c r="F93" s="10">
        <f t="shared" si="2"/>
        <v>241593</v>
      </c>
    </row>
    <row r="94" spans="1:6" x14ac:dyDescent="0.2">
      <c r="A94" s="7">
        <v>2019</v>
      </c>
      <c r="B94" s="5" t="s">
        <v>24</v>
      </c>
      <c r="C94" s="10">
        <v>56499</v>
      </c>
      <c r="D94" s="10">
        <v>190088</v>
      </c>
      <c r="E94" s="10">
        <v>531</v>
      </c>
      <c r="F94" s="10">
        <f t="shared" si="2"/>
        <v>247118</v>
      </c>
    </row>
    <row r="95" spans="1:6" x14ac:dyDescent="0.2">
      <c r="A95" s="7">
        <v>2019</v>
      </c>
      <c r="B95" s="5" t="s">
        <v>25</v>
      </c>
      <c r="C95" s="10">
        <v>79117</v>
      </c>
      <c r="D95" s="10">
        <v>207303</v>
      </c>
      <c r="E95" s="10">
        <v>0</v>
      </c>
      <c r="F95" s="10">
        <f t="shared" si="2"/>
        <v>286420</v>
      </c>
    </row>
    <row r="96" spans="1:6" x14ac:dyDescent="0.2">
      <c r="A96" s="7">
        <v>2019</v>
      </c>
      <c r="B96" s="5" t="s">
        <v>26</v>
      </c>
      <c r="C96" s="10">
        <v>32793</v>
      </c>
      <c r="D96" s="10">
        <v>195668</v>
      </c>
      <c r="E96" s="10">
        <v>20020</v>
      </c>
      <c r="F96" s="10">
        <f t="shared" si="2"/>
        <v>248481</v>
      </c>
    </row>
    <row r="97" spans="1:6" x14ac:dyDescent="0.2">
      <c r="A97" s="7">
        <v>2019</v>
      </c>
      <c r="B97" s="5" t="s">
        <v>27</v>
      </c>
      <c r="C97" s="10">
        <v>23836</v>
      </c>
      <c r="D97" s="10">
        <v>81926</v>
      </c>
      <c r="E97" s="10">
        <v>0</v>
      </c>
      <c r="F97" s="10">
        <f t="shared" si="2"/>
        <v>105762</v>
      </c>
    </row>
    <row r="98" spans="1:6" x14ac:dyDescent="0.2">
      <c r="A98" s="7">
        <v>2019</v>
      </c>
      <c r="B98" s="5" t="s">
        <v>33</v>
      </c>
      <c r="C98" s="10">
        <v>107312</v>
      </c>
      <c r="D98" s="10">
        <v>418728</v>
      </c>
      <c r="E98" s="10">
        <v>19888</v>
      </c>
      <c r="F98" s="10">
        <f t="shared" si="2"/>
        <v>545928</v>
      </c>
    </row>
    <row r="99" spans="1:6" x14ac:dyDescent="0.2">
      <c r="A99" s="7">
        <v>2019</v>
      </c>
      <c r="B99" s="5" t="s">
        <v>28</v>
      </c>
      <c r="C99" s="10">
        <v>17515</v>
      </c>
      <c r="D99" s="10">
        <v>32519</v>
      </c>
      <c r="E99" s="10">
        <v>57</v>
      </c>
      <c r="F99" s="10">
        <f t="shared" si="2"/>
        <v>50091</v>
      </c>
    </row>
    <row r="100" spans="1:6" x14ac:dyDescent="0.2">
      <c r="A100" s="7">
        <v>2019</v>
      </c>
      <c r="B100" s="5" t="s">
        <v>29</v>
      </c>
      <c r="C100" s="10">
        <v>58414</v>
      </c>
      <c r="D100" s="10">
        <v>163504</v>
      </c>
      <c r="E100" s="10">
        <v>2481</v>
      </c>
      <c r="F100" s="10">
        <f t="shared" ref="F100" si="6">SUM(C100:E100)</f>
        <v>224399</v>
      </c>
    </row>
    <row r="101" spans="1:6" x14ac:dyDescent="0.2">
      <c r="A101" s="8">
        <v>2020</v>
      </c>
      <c r="B101" s="6" t="s">
        <v>2</v>
      </c>
      <c r="C101" s="9">
        <f>SUM(C102:C133)</f>
        <v>1724568</v>
      </c>
      <c r="D101" s="9">
        <f t="shared" ref="D101:E101" si="7">SUM(D102:D133)</f>
        <v>3533239</v>
      </c>
      <c r="E101" s="9">
        <f t="shared" si="7"/>
        <v>26996</v>
      </c>
      <c r="F101" s="9">
        <f t="shared" si="2"/>
        <v>5284803</v>
      </c>
    </row>
    <row r="102" spans="1:6" x14ac:dyDescent="0.2">
      <c r="A102" s="7">
        <v>2020</v>
      </c>
      <c r="B102" s="5" t="s">
        <v>3</v>
      </c>
      <c r="C102" s="10">
        <v>52932</v>
      </c>
      <c r="D102" s="10">
        <v>36252</v>
      </c>
      <c r="E102" s="10">
        <v>164</v>
      </c>
      <c r="F102" s="10">
        <f t="shared" si="2"/>
        <v>89348</v>
      </c>
    </row>
    <row r="103" spans="1:6" x14ac:dyDescent="0.2">
      <c r="A103" s="7">
        <v>2020</v>
      </c>
      <c r="B103" s="5" t="s">
        <v>4</v>
      </c>
      <c r="C103" s="10">
        <v>47676</v>
      </c>
      <c r="D103" s="10">
        <v>56876</v>
      </c>
      <c r="E103" s="10">
        <v>143</v>
      </c>
      <c r="F103" s="10">
        <f t="shared" si="2"/>
        <v>104695</v>
      </c>
    </row>
    <row r="104" spans="1:6" x14ac:dyDescent="0.2">
      <c r="A104" s="7">
        <v>2020</v>
      </c>
      <c r="B104" s="5" t="s">
        <v>5</v>
      </c>
      <c r="C104" s="10">
        <v>7753</v>
      </c>
      <c r="D104" s="10">
        <v>31016</v>
      </c>
      <c r="E104" s="10">
        <v>4</v>
      </c>
      <c r="F104" s="10">
        <f t="shared" si="2"/>
        <v>38773</v>
      </c>
    </row>
    <row r="105" spans="1:6" x14ac:dyDescent="0.2">
      <c r="A105" s="7">
        <v>2020</v>
      </c>
      <c r="B105" s="5" t="s">
        <v>6</v>
      </c>
      <c r="C105" s="10">
        <v>9351</v>
      </c>
      <c r="D105" s="10">
        <v>40150</v>
      </c>
      <c r="E105" s="10">
        <v>0</v>
      </c>
      <c r="F105" s="10">
        <f t="shared" si="2"/>
        <v>49501</v>
      </c>
    </row>
    <row r="106" spans="1:6" x14ac:dyDescent="0.2">
      <c r="A106" s="7">
        <v>2020</v>
      </c>
      <c r="B106" s="5" t="s">
        <v>30</v>
      </c>
      <c r="C106" s="10">
        <v>12733</v>
      </c>
      <c r="D106" s="10">
        <v>40441</v>
      </c>
      <c r="E106" s="10">
        <v>0</v>
      </c>
      <c r="F106" s="10">
        <f t="shared" si="2"/>
        <v>53174</v>
      </c>
    </row>
    <row r="107" spans="1:6" x14ac:dyDescent="0.2">
      <c r="A107" s="7">
        <v>2020</v>
      </c>
      <c r="B107" s="5" t="s">
        <v>7</v>
      </c>
      <c r="C107" s="10">
        <v>26791</v>
      </c>
      <c r="D107" s="10">
        <v>35079</v>
      </c>
      <c r="E107" s="10">
        <v>413</v>
      </c>
      <c r="F107" s="10">
        <f t="shared" si="2"/>
        <v>62283</v>
      </c>
    </row>
    <row r="108" spans="1:6" x14ac:dyDescent="0.2">
      <c r="A108" s="7">
        <v>2020</v>
      </c>
      <c r="B108" s="5" t="s">
        <v>8</v>
      </c>
      <c r="C108" s="10">
        <v>33623</v>
      </c>
      <c r="D108" s="10">
        <v>121083</v>
      </c>
      <c r="E108" s="10">
        <v>0</v>
      </c>
      <c r="F108" s="10">
        <f t="shared" si="2"/>
        <v>154706</v>
      </c>
    </row>
    <row r="109" spans="1:6" x14ac:dyDescent="0.2">
      <c r="A109" s="7">
        <v>2020</v>
      </c>
      <c r="B109" s="5" t="s">
        <v>9</v>
      </c>
      <c r="C109" s="10">
        <v>31815</v>
      </c>
      <c r="D109" s="10">
        <v>83752</v>
      </c>
      <c r="E109" s="10">
        <v>0</v>
      </c>
      <c r="F109" s="10">
        <f t="shared" si="2"/>
        <v>115567</v>
      </c>
    </row>
    <row r="110" spans="1:6" x14ac:dyDescent="0.2">
      <c r="A110" s="7">
        <v>2020</v>
      </c>
      <c r="B110" s="5" t="s">
        <v>38</v>
      </c>
      <c r="C110" s="10">
        <v>245672</v>
      </c>
      <c r="D110" s="10">
        <v>367949</v>
      </c>
      <c r="E110" s="10">
        <v>926</v>
      </c>
      <c r="F110" s="10">
        <f t="shared" si="2"/>
        <v>614547</v>
      </c>
    </row>
    <row r="111" spans="1:6" x14ac:dyDescent="0.2">
      <c r="A111" s="7">
        <v>2020</v>
      </c>
      <c r="B111" s="5" t="s">
        <v>10</v>
      </c>
      <c r="C111" s="10">
        <v>41696</v>
      </c>
      <c r="D111" s="10">
        <v>83526</v>
      </c>
      <c r="E111" s="10">
        <v>0</v>
      </c>
      <c r="F111" s="10">
        <f t="shared" si="2"/>
        <v>125222</v>
      </c>
    </row>
    <row r="112" spans="1:6" x14ac:dyDescent="0.2">
      <c r="A112" s="7">
        <v>2020</v>
      </c>
      <c r="B112" s="5" t="s">
        <v>11</v>
      </c>
      <c r="C112" s="10">
        <v>164931</v>
      </c>
      <c r="D112" s="10">
        <v>382127</v>
      </c>
      <c r="E112" s="10">
        <v>0</v>
      </c>
      <c r="F112" s="10">
        <f t="shared" si="2"/>
        <v>547058</v>
      </c>
    </row>
    <row r="113" spans="1:6" x14ac:dyDescent="0.2">
      <c r="A113" s="7">
        <v>2020</v>
      </c>
      <c r="B113" s="5" t="s">
        <v>12</v>
      </c>
      <c r="C113" s="10">
        <v>38223</v>
      </c>
      <c r="D113" s="10">
        <v>70567</v>
      </c>
      <c r="E113" s="10">
        <v>0</v>
      </c>
      <c r="F113" s="10">
        <f t="shared" si="2"/>
        <v>108790</v>
      </c>
    </row>
    <row r="114" spans="1:6" x14ac:dyDescent="0.2">
      <c r="A114" s="7">
        <v>2020</v>
      </c>
      <c r="B114" s="5" t="s">
        <v>13</v>
      </c>
      <c r="C114" s="10">
        <v>56349</v>
      </c>
      <c r="D114" s="10">
        <v>60536</v>
      </c>
      <c r="E114" s="10">
        <v>1106</v>
      </c>
      <c r="F114" s="10">
        <f t="shared" si="2"/>
        <v>117991</v>
      </c>
    </row>
    <row r="115" spans="1:6" x14ac:dyDescent="0.2">
      <c r="A115" s="7">
        <v>2020</v>
      </c>
      <c r="B115" s="5" t="s">
        <v>14</v>
      </c>
      <c r="C115" s="10">
        <v>181537</v>
      </c>
      <c r="D115" s="10">
        <v>165342</v>
      </c>
      <c r="E115" s="10">
        <v>9</v>
      </c>
      <c r="F115" s="10">
        <f t="shared" si="2"/>
        <v>346888</v>
      </c>
    </row>
    <row r="116" spans="1:6" x14ac:dyDescent="0.2">
      <c r="A116" s="7">
        <v>2020</v>
      </c>
      <c r="B116" s="5" t="s">
        <v>15</v>
      </c>
      <c r="C116" s="10">
        <v>176214</v>
      </c>
      <c r="D116" s="10">
        <v>417881</v>
      </c>
      <c r="E116" s="10">
        <v>151</v>
      </c>
      <c r="F116" s="10">
        <f t="shared" si="2"/>
        <v>594246</v>
      </c>
    </row>
    <row r="117" spans="1:6" x14ac:dyDescent="0.2">
      <c r="A117" s="7">
        <v>2020</v>
      </c>
      <c r="B117" s="5" t="s">
        <v>31</v>
      </c>
      <c r="C117" s="10">
        <v>57138</v>
      </c>
      <c r="D117" s="10">
        <v>94621</v>
      </c>
      <c r="E117" s="10">
        <v>0</v>
      </c>
      <c r="F117" s="10">
        <f t="shared" si="2"/>
        <v>151759</v>
      </c>
    </row>
    <row r="118" spans="1:6" x14ac:dyDescent="0.2">
      <c r="A118" s="7">
        <v>2020</v>
      </c>
      <c r="B118" s="5" t="s">
        <v>16</v>
      </c>
      <c r="C118" s="10">
        <v>21692</v>
      </c>
      <c r="D118" s="10">
        <v>66597</v>
      </c>
      <c r="E118" s="10">
        <v>11</v>
      </c>
      <c r="F118" s="10">
        <f t="shared" si="2"/>
        <v>88300</v>
      </c>
    </row>
    <row r="119" spans="1:6" x14ac:dyDescent="0.2">
      <c r="A119" s="7">
        <v>2020</v>
      </c>
      <c r="B119" s="5" t="s">
        <v>17</v>
      </c>
      <c r="C119" s="10">
        <v>17975</v>
      </c>
      <c r="D119" s="10">
        <v>26488</v>
      </c>
      <c r="E119" s="10">
        <v>0</v>
      </c>
      <c r="F119" s="10">
        <f t="shared" si="2"/>
        <v>44463</v>
      </c>
    </row>
    <row r="120" spans="1:6" x14ac:dyDescent="0.2">
      <c r="A120" s="7">
        <v>2020</v>
      </c>
      <c r="B120" s="5" t="s">
        <v>18</v>
      </c>
      <c r="C120" s="10">
        <v>29968</v>
      </c>
      <c r="D120" s="10">
        <v>120788</v>
      </c>
      <c r="E120" s="10">
        <v>66</v>
      </c>
      <c r="F120" s="10">
        <f t="shared" si="2"/>
        <v>150822</v>
      </c>
    </row>
    <row r="121" spans="1:6" x14ac:dyDescent="0.2">
      <c r="A121" s="7">
        <v>2020</v>
      </c>
      <c r="B121" s="5" t="s">
        <v>19</v>
      </c>
      <c r="C121" s="10">
        <v>29193</v>
      </c>
      <c r="D121" s="10">
        <v>62335</v>
      </c>
      <c r="E121" s="10">
        <v>3</v>
      </c>
      <c r="F121" s="10">
        <f t="shared" si="2"/>
        <v>91531</v>
      </c>
    </row>
    <row r="122" spans="1:6" x14ac:dyDescent="0.2">
      <c r="A122" s="7">
        <v>2020</v>
      </c>
      <c r="B122" s="5" t="s">
        <v>20</v>
      </c>
      <c r="C122" s="10">
        <v>58976</v>
      </c>
      <c r="D122" s="10">
        <v>173088</v>
      </c>
      <c r="E122" s="10">
        <v>3936</v>
      </c>
      <c r="F122" s="10">
        <f t="shared" si="2"/>
        <v>236000</v>
      </c>
    </row>
    <row r="123" spans="1:6" x14ac:dyDescent="0.2">
      <c r="A123" s="7">
        <v>2020</v>
      </c>
      <c r="B123" s="5" t="s">
        <v>32</v>
      </c>
      <c r="C123" s="10">
        <v>35989</v>
      </c>
      <c r="D123" s="10">
        <v>32728</v>
      </c>
      <c r="E123" s="10">
        <v>4</v>
      </c>
      <c r="F123" s="10">
        <f t="shared" si="2"/>
        <v>68721</v>
      </c>
    </row>
    <row r="124" spans="1:6" x14ac:dyDescent="0.2">
      <c r="A124" s="7">
        <v>2020</v>
      </c>
      <c r="B124" s="5" t="s">
        <v>21</v>
      </c>
      <c r="C124" s="10">
        <v>10129</v>
      </c>
      <c r="D124" s="10">
        <v>64511</v>
      </c>
      <c r="E124" s="10">
        <v>1980</v>
      </c>
      <c r="F124" s="10">
        <f t="shared" si="2"/>
        <v>76620</v>
      </c>
    </row>
    <row r="125" spans="1:6" x14ac:dyDescent="0.2">
      <c r="A125" s="7">
        <v>2020</v>
      </c>
      <c r="B125" s="5" t="s">
        <v>22</v>
      </c>
      <c r="C125" s="10">
        <v>34470</v>
      </c>
      <c r="D125" s="10">
        <v>83831</v>
      </c>
      <c r="E125" s="10">
        <v>432</v>
      </c>
      <c r="F125" s="10">
        <f t="shared" si="2"/>
        <v>118733</v>
      </c>
    </row>
    <row r="126" spans="1:6" x14ac:dyDescent="0.2">
      <c r="A126" s="7">
        <v>2020</v>
      </c>
      <c r="B126" s="5" t="s">
        <v>23</v>
      </c>
      <c r="C126" s="10">
        <v>54090</v>
      </c>
      <c r="D126" s="10">
        <v>92337</v>
      </c>
      <c r="E126" s="10">
        <v>115</v>
      </c>
      <c r="F126" s="10">
        <f t="shared" si="2"/>
        <v>146542</v>
      </c>
    </row>
    <row r="127" spans="1:6" x14ac:dyDescent="0.2">
      <c r="A127" s="7">
        <v>2020</v>
      </c>
      <c r="B127" s="5" t="s">
        <v>24</v>
      </c>
      <c r="C127" s="10">
        <v>42896</v>
      </c>
      <c r="D127" s="10">
        <v>115589</v>
      </c>
      <c r="E127" s="10">
        <v>0</v>
      </c>
      <c r="F127" s="10">
        <f t="shared" si="2"/>
        <v>158485</v>
      </c>
    </row>
    <row r="128" spans="1:6" x14ac:dyDescent="0.2">
      <c r="A128" s="7">
        <v>2020</v>
      </c>
      <c r="B128" s="5" t="s">
        <v>25</v>
      </c>
      <c r="C128" s="10">
        <v>57020</v>
      </c>
      <c r="D128" s="10">
        <v>128911</v>
      </c>
      <c r="E128" s="10">
        <v>0</v>
      </c>
      <c r="F128" s="10">
        <f t="shared" si="2"/>
        <v>185931</v>
      </c>
    </row>
    <row r="129" spans="1:6" x14ac:dyDescent="0.2">
      <c r="A129" s="7">
        <v>2020</v>
      </c>
      <c r="B129" s="5" t="s">
        <v>26</v>
      </c>
      <c r="C129" s="10">
        <v>22866</v>
      </c>
      <c r="D129" s="10">
        <v>103698</v>
      </c>
      <c r="E129" s="10">
        <v>9337</v>
      </c>
      <c r="F129" s="10">
        <f t="shared" si="2"/>
        <v>135901</v>
      </c>
    </row>
    <row r="130" spans="1:6" x14ac:dyDescent="0.2">
      <c r="A130" s="7">
        <v>2020</v>
      </c>
      <c r="B130" s="5" t="s">
        <v>27</v>
      </c>
      <c r="C130" s="10">
        <v>12861</v>
      </c>
      <c r="D130" s="10">
        <v>42542</v>
      </c>
      <c r="E130" s="10">
        <v>0</v>
      </c>
      <c r="F130" s="10">
        <f t="shared" si="2"/>
        <v>55403</v>
      </c>
    </row>
    <row r="131" spans="1:6" x14ac:dyDescent="0.2">
      <c r="A131" s="7">
        <v>2020</v>
      </c>
      <c r="B131" s="5" t="s">
        <v>33</v>
      </c>
      <c r="C131" s="10">
        <v>67396</v>
      </c>
      <c r="D131" s="10">
        <v>217754</v>
      </c>
      <c r="E131" s="10">
        <v>7201</v>
      </c>
      <c r="F131" s="10">
        <f t="shared" si="2"/>
        <v>292351</v>
      </c>
    </row>
    <row r="132" spans="1:6" x14ac:dyDescent="0.2">
      <c r="A132" s="7">
        <v>2020</v>
      </c>
      <c r="B132" s="5" t="s">
        <v>28</v>
      </c>
      <c r="C132" s="10">
        <v>7623</v>
      </c>
      <c r="D132" s="10">
        <v>27594</v>
      </c>
      <c r="E132" s="10">
        <v>0</v>
      </c>
      <c r="F132" s="10">
        <f t="shared" ref="F132" si="8">SUM(C132:E132)</f>
        <v>35217</v>
      </c>
    </row>
    <row r="133" spans="1:6" x14ac:dyDescent="0.2">
      <c r="A133" s="7">
        <v>2020</v>
      </c>
      <c r="B133" s="5" t="s">
        <v>29</v>
      </c>
      <c r="C133" s="10">
        <v>36990</v>
      </c>
      <c r="D133" s="10">
        <v>87250</v>
      </c>
      <c r="E133" s="10">
        <v>995</v>
      </c>
      <c r="F133" s="10">
        <f t="shared" ref="F133:F166" si="9">SUM(C133:E133)</f>
        <v>125235</v>
      </c>
    </row>
    <row r="134" spans="1:6" x14ac:dyDescent="0.2">
      <c r="A134" s="8">
        <v>2021</v>
      </c>
      <c r="B134" s="6" t="s">
        <v>2</v>
      </c>
      <c r="C134" s="9">
        <f>SUM(C135:C166)</f>
        <v>1790114</v>
      </c>
      <c r="D134" s="9">
        <f t="shared" ref="D134:E134" si="10">SUM(D135:D166)</f>
        <v>3593191</v>
      </c>
      <c r="E134" s="9">
        <f t="shared" si="10"/>
        <v>0</v>
      </c>
      <c r="F134" s="9">
        <f t="shared" si="9"/>
        <v>5383305</v>
      </c>
    </row>
    <row r="135" spans="1:6" x14ac:dyDescent="0.2">
      <c r="A135" s="7">
        <v>2021</v>
      </c>
      <c r="B135" s="5" t="s">
        <v>3</v>
      </c>
      <c r="C135" s="10">
        <v>54646</v>
      </c>
      <c r="D135" s="10">
        <v>39621</v>
      </c>
      <c r="E135" s="10">
        <v>0</v>
      </c>
      <c r="F135" s="10">
        <f t="shared" si="9"/>
        <v>94267</v>
      </c>
    </row>
    <row r="136" spans="1:6" x14ac:dyDescent="0.2">
      <c r="A136" s="7">
        <v>2021</v>
      </c>
      <c r="B136" s="5" t="s">
        <v>4</v>
      </c>
      <c r="C136" s="10">
        <v>31804</v>
      </c>
      <c r="D136" s="10">
        <v>72092</v>
      </c>
      <c r="E136" s="10">
        <v>0</v>
      </c>
      <c r="F136" s="10">
        <f t="shared" si="9"/>
        <v>103896</v>
      </c>
    </row>
    <row r="137" spans="1:6" x14ac:dyDescent="0.2">
      <c r="A137" s="7">
        <v>2021</v>
      </c>
      <c r="B137" s="5" t="s">
        <v>5</v>
      </c>
      <c r="C137" s="10">
        <v>6801</v>
      </c>
      <c r="D137" s="10">
        <v>26256</v>
      </c>
      <c r="E137" s="10">
        <v>0</v>
      </c>
      <c r="F137" s="10">
        <f t="shared" si="9"/>
        <v>33057</v>
      </c>
    </row>
    <row r="138" spans="1:6" x14ac:dyDescent="0.2">
      <c r="A138" s="7">
        <v>2021</v>
      </c>
      <c r="B138" s="5" t="s">
        <v>6</v>
      </c>
      <c r="C138" s="10">
        <v>8777</v>
      </c>
      <c r="D138" s="10">
        <v>50349</v>
      </c>
      <c r="E138" s="10">
        <v>0</v>
      </c>
      <c r="F138" s="10">
        <f t="shared" si="9"/>
        <v>59126</v>
      </c>
    </row>
    <row r="139" spans="1:6" x14ac:dyDescent="0.2">
      <c r="A139" s="7">
        <v>2021</v>
      </c>
      <c r="B139" s="5" t="s">
        <v>30</v>
      </c>
      <c r="C139" s="10">
        <v>16122</v>
      </c>
      <c r="D139" s="10">
        <v>48211</v>
      </c>
      <c r="E139" s="10">
        <v>0</v>
      </c>
      <c r="F139" s="10">
        <f t="shared" si="9"/>
        <v>64333</v>
      </c>
    </row>
    <row r="140" spans="1:6" x14ac:dyDescent="0.2">
      <c r="A140" s="7">
        <v>2021</v>
      </c>
      <c r="B140" s="5" t="s">
        <v>7</v>
      </c>
      <c r="C140" s="10">
        <v>26042</v>
      </c>
      <c r="D140" s="10">
        <v>32582</v>
      </c>
      <c r="E140" s="10">
        <v>0</v>
      </c>
      <c r="F140" s="10">
        <f t="shared" si="9"/>
        <v>58624</v>
      </c>
    </row>
    <row r="141" spans="1:6" x14ac:dyDescent="0.2">
      <c r="A141" s="7">
        <v>2021</v>
      </c>
      <c r="B141" s="5" t="s">
        <v>8</v>
      </c>
      <c r="C141" s="10">
        <v>47873</v>
      </c>
      <c r="D141" s="10">
        <v>168046</v>
      </c>
      <c r="E141" s="10">
        <v>0</v>
      </c>
      <c r="F141" s="10">
        <f t="shared" si="9"/>
        <v>215919</v>
      </c>
    </row>
    <row r="142" spans="1:6" x14ac:dyDescent="0.2">
      <c r="A142" s="7">
        <v>2021</v>
      </c>
      <c r="B142" s="5" t="s">
        <v>9</v>
      </c>
      <c r="C142" s="10">
        <v>32891</v>
      </c>
      <c r="D142" s="10">
        <v>70250</v>
      </c>
      <c r="E142" s="10">
        <v>0</v>
      </c>
      <c r="F142" s="10">
        <f t="shared" si="9"/>
        <v>103141</v>
      </c>
    </row>
    <row r="143" spans="1:6" x14ac:dyDescent="0.2">
      <c r="A143" s="7">
        <v>2021</v>
      </c>
      <c r="B143" s="5" t="s">
        <v>38</v>
      </c>
      <c r="C143" s="10">
        <v>255910</v>
      </c>
      <c r="D143" s="10">
        <v>423038</v>
      </c>
      <c r="E143" s="10">
        <v>0</v>
      </c>
      <c r="F143" s="10">
        <f t="shared" si="9"/>
        <v>678948</v>
      </c>
    </row>
    <row r="144" spans="1:6" x14ac:dyDescent="0.2">
      <c r="A144" s="7">
        <v>2021</v>
      </c>
      <c r="B144" s="5" t="s">
        <v>10</v>
      </c>
      <c r="C144" s="10">
        <v>41418</v>
      </c>
      <c r="D144" s="10">
        <v>104287</v>
      </c>
      <c r="E144" s="10">
        <v>0</v>
      </c>
      <c r="F144" s="10">
        <f t="shared" si="9"/>
        <v>145705</v>
      </c>
    </row>
    <row r="145" spans="1:6" x14ac:dyDescent="0.2">
      <c r="A145" s="7">
        <v>2021</v>
      </c>
      <c r="B145" s="5" t="s">
        <v>11</v>
      </c>
      <c r="C145" s="10">
        <v>175392</v>
      </c>
      <c r="D145" s="10">
        <v>330282</v>
      </c>
      <c r="E145" s="10">
        <v>0</v>
      </c>
      <c r="F145" s="10">
        <f t="shared" si="9"/>
        <v>505674</v>
      </c>
    </row>
    <row r="146" spans="1:6" x14ac:dyDescent="0.2">
      <c r="A146" s="7">
        <v>2021</v>
      </c>
      <c r="B146" s="5" t="s">
        <v>12</v>
      </c>
      <c r="C146" s="10">
        <v>37994</v>
      </c>
      <c r="D146" s="10">
        <v>72739</v>
      </c>
      <c r="E146" s="10">
        <v>0</v>
      </c>
      <c r="F146" s="10">
        <f t="shared" si="9"/>
        <v>110733</v>
      </c>
    </row>
    <row r="147" spans="1:6" x14ac:dyDescent="0.2">
      <c r="A147" s="7">
        <v>2021</v>
      </c>
      <c r="B147" s="5" t="s">
        <v>13</v>
      </c>
      <c r="C147" s="10">
        <v>73806</v>
      </c>
      <c r="D147" s="10">
        <v>52560</v>
      </c>
      <c r="E147" s="10">
        <v>0</v>
      </c>
      <c r="F147" s="10">
        <f t="shared" si="9"/>
        <v>126366</v>
      </c>
    </row>
    <row r="148" spans="1:6" x14ac:dyDescent="0.2">
      <c r="A148" s="7">
        <v>2021</v>
      </c>
      <c r="B148" s="5" t="s">
        <v>14</v>
      </c>
      <c r="C148" s="10">
        <v>112079</v>
      </c>
      <c r="D148" s="10">
        <v>184668</v>
      </c>
      <c r="E148" s="10">
        <v>0</v>
      </c>
      <c r="F148" s="10">
        <f t="shared" si="9"/>
        <v>296747</v>
      </c>
    </row>
    <row r="149" spans="1:6" x14ac:dyDescent="0.2">
      <c r="A149" s="7">
        <v>2021</v>
      </c>
      <c r="B149" s="5" t="s">
        <v>15</v>
      </c>
      <c r="C149" s="10">
        <v>165894</v>
      </c>
      <c r="D149" s="10">
        <v>422749</v>
      </c>
      <c r="E149" s="10">
        <v>0</v>
      </c>
      <c r="F149" s="10">
        <f t="shared" si="9"/>
        <v>588643</v>
      </c>
    </row>
    <row r="150" spans="1:6" x14ac:dyDescent="0.2">
      <c r="A150" s="7">
        <v>2021</v>
      </c>
      <c r="B150" s="5" t="s">
        <v>31</v>
      </c>
      <c r="C150" s="10">
        <v>64737</v>
      </c>
      <c r="D150" s="10">
        <v>80865</v>
      </c>
      <c r="E150" s="10">
        <v>0</v>
      </c>
      <c r="F150" s="10">
        <f t="shared" si="9"/>
        <v>145602</v>
      </c>
    </row>
    <row r="151" spans="1:6" x14ac:dyDescent="0.2">
      <c r="A151" s="7">
        <v>2021</v>
      </c>
      <c r="B151" s="5" t="s">
        <v>16</v>
      </c>
      <c r="C151" s="10">
        <v>33718</v>
      </c>
      <c r="D151" s="10">
        <v>53807</v>
      </c>
      <c r="E151" s="10">
        <v>0</v>
      </c>
      <c r="F151" s="10">
        <f t="shared" si="9"/>
        <v>87525</v>
      </c>
    </row>
    <row r="152" spans="1:6" x14ac:dyDescent="0.2">
      <c r="A152" s="7">
        <v>2021</v>
      </c>
      <c r="B152" s="5" t="s">
        <v>17</v>
      </c>
      <c r="C152" s="10">
        <v>17583</v>
      </c>
      <c r="D152" s="10">
        <v>29490</v>
      </c>
      <c r="E152" s="10">
        <v>0</v>
      </c>
      <c r="F152" s="10">
        <f t="shared" si="9"/>
        <v>47073</v>
      </c>
    </row>
    <row r="153" spans="1:6" x14ac:dyDescent="0.2">
      <c r="A153" s="7">
        <v>2021</v>
      </c>
      <c r="B153" s="5" t="s">
        <v>18</v>
      </c>
      <c r="C153" s="10">
        <v>34098</v>
      </c>
      <c r="D153" s="10">
        <v>105916</v>
      </c>
      <c r="E153" s="10">
        <v>0</v>
      </c>
      <c r="F153" s="10">
        <f t="shared" si="9"/>
        <v>140014</v>
      </c>
    </row>
    <row r="154" spans="1:6" x14ac:dyDescent="0.2">
      <c r="A154" s="7">
        <v>2021</v>
      </c>
      <c r="B154" s="5" t="s">
        <v>19</v>
      </c>
      <c r="C154" s="10">
        <v>23588</v>
      </c>
      <c r="D154" s="10">
        <v>59752</v>
      </c>
      <c r="E154" s="10">
        <v>0</v>
      </c>
      <c r="F154" s="10">
        <f t="shared" si="9"/>
        <v>83340</v>
      </c>
    </row>
    <row r="155" spans="1:6" x14ac:dyDescent="0.2">
      <c r="A155" s="7">
        <v>2021</v>
      </c>
      <c r="B155" s="5" t="s">
        <v>20</v>
      </c>
      <c r="C155" s="10">
        <v>66593</v>
      </c>
      <c r="D155" s="10">
        <v>161898</v>
      </c>
      <c r="E155" s="10">
        <v>0</v>
      </c>
      <c r="F155" s="10">
        <f t="shared" si="9"/>
        <v>228491</v>
      </c>
    </row>
    <row r="156" spans="1:6" x14ac:dyDescent="0.2">
      <c r="A156" s="7">
        <v>2021</v>
      </c>
      <c r="B156" s="5" t="s">
        <v>32</v>
      </c>
      <c r="C156" s="10">
        <v>34516</v>
      </c>
      <c r="D156" s="10">
        <v>43375</v>
      </c>
      <c r="E156" s="10">
        <v>0</v>
      </c>
      <c r="F156" s="10">
        <f t="shared" si="9"/>
        <v>77891</v>
      </c>
    </row>
    <row r="157" spans="1:6" x14ac:dyDescent="0.2">
      <c r="A157" s="7">
        <v>2021</v>
      </c>
      <c r="B157" s="5" t="s">
        <v>21</v>
      </c>
      <c r="C157" s="10">
        <v>15237</v>
      </c>
      <c r="D157" s="10">
        <v>74252</v>
      </c>
      <c r="E157" s="10">
        <v>0</v>
      </c>
      <c r="F157" s="10">
        <f t="shared" si="9"/>
        <v>89489</v>
      </c>
    </row>
    <row r="158" spans="1:6" x14ac:dyDescent="0.2">
      <c r="A158" s="7">
        <v>2021</v>
      </c>
      <c r="B158" s="5" t="s">
        <v>22</v>
      </c>
      <c r="C158" s="10">
        <v>33807</v>
      </c>
      <c r="D158" s="10">
        <v>75708</v>
      </c>
      <c r="E158" s="10">
        <v>0</v>
      </c>
      <c r="F158" s="10">
        <f t="shared" si="9"/>
        <v>109515</v>
      </c>
    </row>
    <row r="159" spans="1:6" x14ac:dyDescent="0.2">
      <c r="A159" s="7">
        <v>2021</v>
      </c>
      <c r="B159" s="5" t="s">
        <v>23</v>
      </c>
      <c r="C159" s="10">
        <v>72723</v>
      </c>
      <c r="D159" s="10">
        <v>69396</v>
      </c>
      <c r="E159" s="10">
        <v>0</v>
      </c>
      <c r="F159" s="10">
        <f t="shared" si="9"/>
        <v>142119</v>
      </c>
    </row>
    <row r="160" spans="1:6" x14ac:dyDescent="0.2">
      <c r="A160" s="7">
        <v>2021</v>
      </c>
      <c r="B160" s="5" t="s">
        <v>24</v>
      </c>
      <c r="C160" s="10">
        <v>48106</v>
      </c>
      <c r="D160" s="10">
        <v>108489</v>
      </c>
      <c r="E160" s="10">
        <v>0</v>
      </c>
      <c r="F160" s="10">
        <f t="shared" si="9"/>
        <v>156595</v>
      </c>
    </row>
    <row r="161" spans="1:6" x14ac:dyDescent="0.2">
      <c r="A161" s="7">
        <v>2021</v>
      </c>
      <c r="B161" s="5" t="s">
        <v>25</v>
      </c>
      <c r="C161" s="10">
        <v>77994</v>
      </c>
      <c r="D161" s="10">
        <v>180079</v>
      </c>
      <c r="E161" s="10">
        <v>0</v>
      </c>
      <c r="F161" s="10">
        <f t="shared" si="9"/>
        <v>258073</v>
      </c>
    </row>
    <row r="162" spans="1:6" x14ac:dyDescent="0.2">
      <c r="A162" s="7">
        <v>2021</v>
      </c>
      <c r="B162" s="5" t="s">
        <v>26</v>
      </c>
      <c r="C162" s="10">
        <v>29726</v>
      </c>
      <c r="D162" s="10">
        <v>90941</v>
      </c>
      <c r="E162" s="10">
        <v>0</v>
      </c>
      <c r="F162" s="10">
        <f t="shared" si="9"/>
        <v>120667</v>
      </c>
    </row>
    <row r="163" spans="1:6" x14ac:dyDescent="0.2">
      <c r="A163" s="7">
        <v>2021</v>
      </c>
      <c r="B163" s="5" t="s">
        <v>27</v>
      </c>
      <c r="C163" s="10">
        <v>14386</v>
      </c>
      <c r="D163" s="10">
        <v>43221</v>
      </c>
      <c r="E163" s="10">
        <v>0</v>
      </c>
      <c r="F163" s="10">
        <f t="shared" si="9"/>
        <v>57607</v>
      </c>
    </row>
    <row r="164" spans="1:6" x14ac:dyDescent="0.2">
      <c r="A164" s="7">
        <v>2021</v>
      </c>
      <c r="B164" s="5" t="s">
        <v>33</v>
      </c>
      <c r="C164" s="10">
        <v>88149</v>
      </c>
      <c r="D164" s="10">
        <v>198829</v>
      </c>
      <c r="E164" s="10">
        <v>0</v>
      </c>
      <c r="F164" s="10">
        <f t="shared" si="9"/>
        <v>286978</v>
      </c>
    </row>
    <row r="165" spans="1:6" x14ac:dyDescent="0.2">
      <c r="A165" s="7">
        <v>2021</v>
      </c>
      <c r="B165" s="5" t="s">
        <v>28</v>
      </c>
      <c r="C165" s="10">
        <v>8970</v>
      </c>
      <c r="D165" s="10">
        <v>39317</v>
      </c>
      <c r="E165" s="10">
        <v>0</v>
      </c>
      <c r="F165" s="10">
        <f t="shared" si="9"/>
        <v>48287</v>
      </c>
    </row>
    <row r="166" spans="1:6" x14ac:dyDescent="0.2">
      <c r="A166" s="7">
        <v>2021</v>
      </c>
      <c r="B166" s="5" t="s">
        <v>29</v>
      </c>
      <c r="C166" s="10">
        <v>38734</v>
      </c>
      <c r="D166" s="10">
        <v>80126</v>
      </c>
      <c r="E166" s="10">
        <v>0</v>
      </c>
      <c r="F166" s="10">
        <f t="shared" si="9"/>
        <v>118860</v>
      </c>
    </row>
    <row r="167" spans="1:6" x14ac:dyDescent="0.2">
      <c r="A167" s="8">
        <v>2022</v>
      </c>
      <c r="B167" s="6" t="s">
        <v>2</v>
      </c>
      <c r="C167" s="9">
        <f>SUM(C168:C199)</f>
        <v>1961524</v>
      </c>
      <c r="D167" s="9">
        <f t="shared" ref="D167:F167" si="11">SUM(D168:D199)</f>
        <v>4421314</v>
      </c>
      <c r="E167" s="9">
        <f t="shared" si="11"/>
        <v>0</v>
      </c>
      <c r="F167" s="9">
        <f t="shared" si="11"/>
        <v>6382838</v>
      </c>
    </row>
    <row r="168" spans="1:6" x14ac:dyDescent="0.2">
      <c r="A168" s="7">
        <v>2022</v>
      </c>
      <c r="B168" s="5" t="s">
        <v>3</v>
      </c>
      <c r="C168" s="10">
        <v>48896</v>
      </c>
      <c r="D168" s="10">
        <v>28909</v>
      </c>
      <c r="E168" s="10">
        <v>0</v>
      </c>
      <c r="F168" s="10">
        <f>SUM(C168:E168)</f>
        <v>77805</v>
      </c>
    </row>
    <row r="169" spans="1:6" x14ac:dyDescent="0.2">
      <c r="A169" s="7">
        <v>2022</v>
      </c>
      <c r="B169" s="5" t="s">
        <v>4</v>
      </c>
      <c r="C169" s="10">
        <v>32585</v>
      </c>
      <c r="D169" s="10">
        <v>93585</v>
      </c>
      <c r="E169" s="10">
        <v>0</v>
      </c>
      <c r="F169" s="10">
        <f t="shared" ref="F169:F199" si="12">SUM(C169:E169)</f>
        <v>126170</v>
      </c>
    </row>
    <row r="170" spans="1:6" x14ac:dyDescent="0.2">
      <c r="A170" s="7">
        <v>2022</v>
      </c>
      <c r="B170" s="5" t="s">
        <v>5</v>
      </c>
      <c r="C170" s="10">
        <v>9323</v>
      </c>
      <c r="D170" s="10">
        <v>22988</v>
      </c>
      <c r="E170" s="10">
        <v>0</v>
      </c>
      <c r="F170" s="10">
        <f t="shared" si="12"/>
        <v>32311</v>
      </c>
    </row>
    <row r="171" spans="1:6" x14ac:dyDescent="0.2">
      <c r="A171" s="7">
        <v>2022</v>
      </c>
      <c r="B171" s="5" t="s">
        <v>6</v>
      </c>
      <c r="C171" s="10">
        <v>9829</v>
      </c>
      <c r="D171" s="10">
        <v>54442</v>
      </c>
      <c r="E171" s="10">
        <v>0</v>
      </c>
      <c r="F171" s="10">
        <f t="shared" si="12"/>
        <v>64271</v>
      </c>
    </row>
    <row r="172" spans="1:6" x14ac:dyDescent="0.2">
      <c r="A172" s="7">
        <v>2022</v>
      </c>
      <c r="B172" s="5" t="s">
        <v>30</v>
      </c>
      <c r="C172" s="10">
        <v>22388</v>
      </c>
      <c r="D172" s="10">
        <v>49950</v>
      </c>
      <c r="E172" s="10">
        <v>0</v>
      </c>
      <c r="F172" s="10">
        <f t="shared" si="12"/>
        <v>72338</v>
      </c>
    </row>
    <row r="173" spans="1:6" x14ac:dyDescent="0.2">
      <c r="A173" s="7">
        <v>2022</v>
      </c>
      <c r="B173" s="5" t="s">
        <v>7</v>
      </c>
      <c r="C173" s="10">
        <v>29953</v>
      </c>
      <c r="D173" s="10">
        <v>39158</v>
      </c>
      <c r="E173" s="10">
        <v>0</v>
      </c>
      <c r="F173" s="10">
        <f t="shared" si="12"/>
        <v>69111</v>
      </c>
    </row>
    <row r="174" spans="1:6" x14ac:dyDescent="0.2">
      <c r="A174" s="7">
        <v>2022</v>
      </c>
      <c r="B174" s="5" t="s">
        <v>8</v>
      </c>
      <c r="C174" s="10">
        <v>84101</v>
      </c>
      <c r="D174" s="10">
        <v>249692</v>
      </c>
      <c r="E174" s="10">
        <v>0</v>
      </c>
      <c r="F174" s="10">
        <f t="shared" si="12"/>
        <v>333793</v>
      </c>
    </row>
    <row r="175" spans="1:6" x14ac:dyDescent="0.2">
      <c r="A175" s="7">
        <v>2022</v>
      </c>
      <c r="B175" s="5" t="s">
        <v>9</v>
      </c>
      <c r="C175" s="10">
        <v>37973</v>
      </c>
      <c r="D175" s="10">
        <v>82903</v>
      </c>
      <c r="E175" s="10">
        <v>0</v>
      </c>
      <c r="F175" s="10">
        <f t="shared" si="12"/>
        <v>120876</v>
      </c>
    </row>
    <row r="176" spans="1:6" x14ac:dyDescent="0.2">
      <c r="A176" s="7">
        <v>2022</v>
      </c>
      <c r="B176" s="5" t="s">
        <v>38</v>
      </c>
      <c r="C176" s="10">
        <v>193192</v>
      </c>
      <c r="D176" s="10">
        <v>423550</v>
      </c>
      <c r="E176" s="10">
        <v>0</v>
      </c>
      <c r="F176" s="10">
        <f t="shared" si="12"/>
        <v>616742</v>
      </c>
    </row>
    <row r="177" spans="1:6" x14ac:dyDescent="0.2">
      <c r="A177" s="7">
        <v>2022</v>
      </c>
      <c r="B177" s="5" t="s">
        <v>10</v>
      </c>
      <c r="C177" s="10">
        <v>43946</v>
      </c>
      <c r="D177" s="10">
        <v>103661</v>
      </c>
      <c r="E177" s="10">
        <v>0</v>
      </c>
      <c r="F177" s="10">
        <f t="shared" si="12"/>
        <v>147607</v>
      </c>
    </row>
    <row r="178" spans="1:6" x14ac:dyDescent="0.2">
      <c r="A178" s="7">
        <v>2022</v>
      </c>
      <c r="B178" s="5" t="s">
        <v>11</v>
      </c>
      <c r="C178" s="10">
        <v>190981</v>
      </c>
      <c r="D178" s="10">
        <v>414342</v>
      </c>
      <c r="E178" s="10">
        <v>0</v>
      </c>
      <c r="F178" s="10">
        <f t="shared" si="12"/>
        <v>605323</v>
      </c>
    </row>
    <row r="179" spans="1:6" x14ac:dyDescent="0.2">
      <c r="A179" s="7">
        <v>2022</v>
      </c>
      <c r="B179" s="5" t="s">
        <v>12</v>
      </c>
      <c r="C179" s="10">
        <v>42320</v>
      </c>
      <c r="D179" s="10">
        <v>98683</v>
      </c>
      <c r="E179" s="10">
        <v>0</v>
      </c>
      <c r="F179" s="10">
        <f t="shared" si="12"/>
        <v>141003</v>
      </c>
    </row>
    <row r="180" spans="1:6" x14ac:dyDescent="0.2">
      <c r="A180" s="7">
        <v>2022</v>
      </c>
      <c r="B180" s="5" t="s">
        <v>13</v>
      </c>
      <c r="C180" s="10">
        <v>59556</v>
      </c>
      <c r="D180" s="10">
        <v>65422</v>
      </c>
      <c r="E180" s="10">
        <v>0</v>
      </c>
      <c r="F180" s="10">
        <f t="shared" si="12"/>
        <v>124978</v>
      </c>
    </row>
    <row r="181" spans="1:6" x14ac:dyDescent="0.2">
      <c r="A181" s="7">
        <v>2022</v>
      </c>
      <c r="B181" s="5" t="s">
        <v>14</v>
      </c>
      <c r="C181" s="10">
        <v>164549</v>
      </c>
      <c r="D181" s="10">
        <v>238080</v>
      </c>
      <c r="E181" s="10">
        <v>0</v>
      </c>
      <c r="F181" s="10">
        <f t="shared" si="12"/>
        <v>402629</v>
      </c>
    </row>
    <row r="182" spans="1:6" x14ac:dyDescent="0.2">
      <c r="A182" s="7">
        <v>2022</v>
      </c>
      <c r="B182" s="5" t="s">
        <v>15</v>
      </c>
      <c r="C182" s="10">
        <v>215162</v>
      </c>
      <c r="D182" s="10">
        <v>584375</v>
      </c>
      <c r="E182" s="10">
        <v>0</v>
      </c>
      <c r="F182" s="10">
        <f t="shared" si="12"/>
        <v>799537</v>
      </c>
    </row>
    <row r="183" spans="1:6" x14ac:dyDescent="0.2">
      <c r="A183" s="7">
        <v>2022</v>
      </c>
      <c r="B183" s="5" t="s">
        <v>31</v>
      </c>
      <c r="C183" s="10">
        <v>76406</v>
      </c>
      <c r="D183" s="10">
        <v>78611</v>
      </c>
      <c r="E183" s="10">
        <v>0</v>
      </c>
      <c r="F183" s="10">
        <f t="shared" si="12"/>
        <v>155017</v>
      </c>
    </row>
    <row r="184" spans="1:6" x14ac:dyDescent="0.2">
      <c r="A184" s="7">
        <v>2022</v>
      </c>
      <c r="B184" s="5" t="s">
        <v>16</v>
      </c>
      <c r="C184" s="10">
        <v>47743</v>
      </c>
      <c r="D184" s="10">
        <v>72686</v>
      </c>
      <c r="E184" s="10">
        <v>0</v>
      </c>
      <c r="F184" s="10">
        <f t="shared" si="12"/>
        <v>120429</v>
      </c>
    </row>
    <row r="185" spans="1:6" x14ac:dyDescent="0.2">
      <c r="A185" s="7">
        <v>2022</v>
      </c>
      <c r="B185" s="5" t="s">
        <v>17</v>
      </c>
      <c r="C185" s="10">
        <v>21594</v>
      </c>
      <c r="D185" s="10">
        <v>40102</v>
      </c>
      <c r="E185" s="10">
        <v>0</v>
      </c>
      <c r="F185" s="10">
        <f t="shared" si="12"/>
        <v>61696</v>
      </c>
    </row>
    <row r="186" spans="1:6" x14ac:dyDescent="0.2">
      <c r="A186" s="7">
        <v>2022</v>
      </c>
      <c r="B186" s="5" t="s">
        <v>18</v>
      </c>
      <c r="C186" s="10">
        <v>35328</v>
      </c>
      <c r="D186" s="10">
        <v>119187</v>
      </c>
      <c r="E186" s="10">
        <v>0</v>
      </c>
      <c r="F186" s="10">
        <f t="shared" si="12"/>
        <v>154515</v>
      </c>
    </row>
    <row r="187" spans="1:6" x14ac:dyDescent="0.2">
      <c r="A187" s="7">
        <v>2022</v>
      </c>
      <c r="B187" s="5" t="s">
        <v>19</v>
      </c>
      <c r="C187" s="10">
        <v>31632</v>
      </c>
      <c r="D187" s="10">
        <v>94084</v>
      </c>
      <c r="E187" s="10">
        <v>0</v>
      </c>
      <c r="F187" s="10">
        <f t="shared" si="12"/>
        <v>125716</v>
      </c>
    </row>
    <row r="188" spans="1:6" x14ac:dyDescent="0.2">
      <c r="A188" s="7">
        <v>2022</v>
      </c>
      <c r="B188" s="5" t="s">
        <v>20</v>
      </c>
      <c r="C188" s="10">
        <v>80350</v>
      </c>
      <c r="D188" s="10">
        <v>255881</v>
      </c>
      <c r="E188" s="10">
        <v>0</v>
      </c>
      <c r="F188" s="10">
        <f t="shared" si="12"/>
        <v>336231</v>
      </c>
    </row>
    <row r="189" spans="1:6" x14ac:dyDescent="0.2">
      <c r="A189" s="7">
        <v>2022</v>
      </c>
      <c r="B189" s="5" t="s">
        <v>32</v>
      </c>
      <c r="C189" s="10">
        <v>37837</v>
      </c>
      <c r="D189" s="10">
        <v>77677</v>
      </c>
      <c r="E189" s="10">
        <v>0</v>
      </c>
      <c r="F189" s="10">
        <f t="shared" si="12"/>
        <v>115514</v>
      </c>
    </row>
    <row r="190" spans="1:6" x14ac:dyDescent="0.2">
      <c r="A190" s="7">
        <v>2022</v>
      </c>
      <c r="B190" s="5" t="s">
        <v>21</v>
      </c>
      <c r="C190" s="10">
        <v>9864</v>
      </c>
      <c r="D190" s="10">
        <v>71609</v>
      </c>
      <c r="E190" s="10">
        <v>0</v>
      </c>
      <c r="F190" s="10">
        <f t="shared" si="12"/>
        <v>81473</v>
      </c>
    </row>
    <row r="191" spans="1:6" x14ac:dyDescent="0.2">
      <c r="A191" s="7">
        <v>2022</v>
      </c>
      <c r="B191" s="5" t="s">
        <v>22</v>
      </c>
      <c r="C191" s="10">
        <v>34792</v>
      </c>
      <c r="D191" s="10">
        <v>83460</v>
      </c>
      <c r="E191" s="10">
        <v>0</v>
      </c>
      <c r="F191" s="10">
        <f t="shared" si="12"/>
        <v>118252</v>
      </c>
    </row>
    <row r="192" spans="1:6" x14ac:dyDescent="0.2">
      <c r="A192" s="7">
        <v>2022</v>
      </c>
      <c r="B192" s="5" t="s">
        <v>23</v>
      </c>
      <c r="C192" s="10">
        <v>75452</v>
      </c>
      <c r="D192" s="10">
        <v>70358</v>
      </c>
      <c r="E192" s="10">
        <v>0</v>
      </c>
      <c r="F192" s="10">
        <f t="shared" si="12"/>
        <v>145810</v>
      </c>
    </row>
    <row r="193" spans="1:6" x14ac:dyDescent="0.2">
      <c r="A193" s="7">
        <v>2022</v>
      </c>
      <c r="B193" s="5" t="s">
        <v>24</v>
      </c>
      <c r="C193" s="10">
        <v>45857</v>
      </c>
      <c r="D193" s="10">
        <v>110380</v>
      </c>
      <c r="E193" s="10">
        <v>0</v>
      </c>
      <c r="F193" s="10">
        <f t="shared" si="12"/>
        <v>156237</v>
      </c>
    </row>
    <row r="194" spans="1:6" x14ac:dyDescent="0.2">
      <c r="A194" s="7">
        <v>2022</v>
      </c>
      <c r="B194" s="5" t="s">
        <v>25</v>
      </c>
      <c r="C194" s="10">
        <v>71220</v>
      </c>
      <c r="D194" s="10">
        <v>216215</v>
      </c>
      <c r="E194" s="10">
        <v>0</v>
      </c>
      <c r="F194" s="10">
        <f t="shared" si="12"/>
        <v>287435</v>
      </c>
    </row>
    <row r="195" spans="1:6" x14ac:dyDescent="0.2">
      <c r="A195" s="7">
        <v>2022</v>
      </c>
      <c r="B195" s="5" t="s">
        <v>26</v>
      </c>
      <c r="C195" s="10">
        <v>23889</v>
      </c>
      <c r="D195" s="10">
        <v>106958</v>
      </c>
      <c r="E195" s="10">
        <v>0</v>
      </c>
      <c r="F195" s="10">
        <f t="shared" si="12"/>
        <v>130847</v>
      </c>
    </row>
    <row r="196" spans="1:6" x14ac:dyDescent="0.2">
      <c r="A196" s="7">
        <v>2022</v>
      </c>
      <c r="B196" s="5" t="s">
        <v>27</v>
      </c>
      <c r="C196" s="10">
        <v>13652</v>
      </c>
      <c r="D196" s="10">
        <v>68568</v>
      </c>
      <c r="E196" s="10">
        <v>0</v>
      </c>
      <c r="F196" s="10">
        <f t="shared" si="12"/>
        <v>82220</v>
      </c>
    </row>
    <row r="197" spans="1:6" x14ac:dyDescent="0.2">
      <c r="A197" s="7">
        <v>2022</v>
      </c>
      <c r="B197" s="5" t="s">
        <v>33</v>
      </c>
      <c r="C197" s="10">
        <v>116103</v>
      </c>
      <c r="D197" s="10">
        <v>265365</v>
      </c>
      <c r="E197" s="10">
        <v>0</v>
      </c>
      <c r="F197" s="10">
        <f t="shared" si="12"/>
        <v>381468</v>
      </c>
    </row>
    <row r="198" spans="1:6" x14ac:dyDescent="0.2">
      <c r="A198" s="7">
        <v>2022</v>
      </c>
      <c r="B198" s="5" t="s">
        <v>28</v>
      </c>
      <c r="C198" s="10">
        <v>10493</v>
      </c>
      <c r="D198" s="10">
        <v>46205</v>
      </c>
      <c r="E198" s="10">
        <v>0</v>
      </c>
      <c r="F198" s="10">
        <f t="shared" si="12"/>
        <v>56698</v>
      </c>
    </row>
    <row r="199" spans="1:6" x14ac:dyDescent="0.2">
      <c r="A199" s="7">
        <v>2022</v>
      </c>
      <c r="B199" s="5" t="s">
        <v>29</v>
      </c>
      <c r="C199" s="10">
        <v>44558</v>
      </c>
      <c r="D199" s="10">
        <v>94228</v>
      </c>
      <c r="E199" s="10">
        <v>0</v>
      </c>
      <c r="F199" s="10">
        <f t="shared" si="12"/>
        <v>138786</v>
      </c>
    </row>
  </sheetData>
  <sortState ref="B2:F331">
    <sortCondition ref="B2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J20" sqref="J20:J21"/>
    </sheetView>
  </sheetViews>
  <sheetFormatPr baseColWidth="10" defaultRowHeight="15" x14ac:dyDescent="0.25"/>
  <cols>
    <col min="1" max="1" width="12.140625" customWidth="1"/>
    <col min="2" max="3" width="16.42578125" customWidth="1"/>
    <col min="4" max="4" width="24" customWidth="1"/>
    <col min="5" max="5" width="14" customWidth="1"/>
  </cols>
  <sheetData>
    <row r="1" spans="1:5" s="3" customFormat="1" ht="28.5" x14ac:dyDescent="0.2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5">
      <c r="A2" s="7">
        <v>2017</v>
      </c>
      <c r="B2" s="10">
        <f>SUMIFS(Concentrado!C$2:C$199,Concentrado!$A$2:$A$199,"="&amp;$A2,Concentrado!$B$2:$B$199, "=Coahuila")</f>
        <v>9440</v>
      </c>
      <c r="C2" s="10">
        <f>SUMIFS(Concentrado!D$2:D$199,Concentrado!$A$2:$A$199,"="&amp;$A2,Concentrado!$B$2:$B$199, "=Coahuila")</f>
        <v>43205</v>
      </c>
      <c r="D2" s="10">
        <f>SUMIFS(Concentrado!E$2:E$199,Concentrado!$A$2:$A$199,"="&amp;$A2,Concentrado!$B$2:$B$199, "=Coahuila")</f>
        <v>0</v>
      </c>
      <c r="E2" s="10">
        <f>SUMIFS(Concentrado!F$2:F$199,Concentrado!$A$2:$A$199,"="&amp;$A2,Concentrado!$B$2:$B$199, "=Coahuila")</f>
        <v>52645</v>
      </c>
    </row>
    <row r="3" spans="1:5" x14ac:dyDescent="0.25">
      <c r="A3" s="7">
        <v>2018</v>
      </c>
      <c r="B3" s="10">
        <f>SUMIFS(Concentrado!C$2:C$199,Concentrado!$A$2:$A$199,"="&amp;$A3,Concentrado!$B$2:$B$199, "=Coahuila")</f>
        <v>11163</v>
      </c>
      <c r="C3" s="10">
        <f>SUMIFS(Concentrado!D$2:D$199,Concentrado!$A$2:$A$199,"="&amp;$A3,Concentrado!$B$2:$B$199, "=Coahuila")</f>
        <v>43388</v>
      </c>
      <c r="D3" s="10">
        <f>SUMIFS(Concentrado!E$2:E$199,Concentrado!$A$2:$A$199,"="&amp;$A3,Concentrado!$B$2:$B$199, "=Coahuila")</f>
        <v>806</v>
      </c>
      <c r="E3" s="10">
        <f>SUMIFS(Concentrado!F$2:F$199,Concentrado!$A$2:$A$199,"="&amp;$A3,Concentrado!$B$2:$B$199, "=Coahuila")</f>
        <v>55357</v>
      </c>
    </row>
    <row r="4" spans="1:5" x14ac:dyDescent="0.25">
      <c r="A4" s="7">
        <v>2019</v>
      </c>
      <c r="B4" s="10">
        <f>SUMIFS(Concentrado!C$2:C$199,Concentrado!$A$2:$A$199,"="&amp;$A4,Concentrado!$B$2:$B$199, "=Coahuila")</f>
        <v>22833</v>
      </c>
      <c r="C4" s="10">
        <f>SUMIFS(Concentrado!D$2:D$199,Concentrado!$A$2:$A$199,"="&amp;$A4,Concentrado!$B$2:$B$199, "=Coahuila")</f>
        <v>66458</v>
      </c>
      <c r="D4" s="10">
        <f>SUMIFS(Concentrado!E$2:E$199,Concentrado!$A$2:$A$199,"="&amp;$A4,Concentrado!$B$2:$B$199, "=Coahuila")</f>
        <v>0</v>
      </c>
      <c r="E4" s="10">
        <f>SUMIFS(Concentrado!F$2:F$199,Concentrado!$A$2:$A$199,"="&amp;$A4,Concentrado!$B$2:$B$199, "=Coahuila")</f>
        <v>89291</v>
      </c>
    </row>
    <row r="5" spans="1:5" x14ac:dyDescent="0.25">
      <c r="A5" s="7">
        <v>2020</v>
      </c>
      <c r="B5" s="10">
        <f>SUMIFS(Concentrado!C$2:C$199,Concentrado!$A$2:$A$199,"="&amp;$A5,Concentrado!$B$2:$B$199, "=Coahuila")</f>
        <v>12733</v>
      </c>
      <c r="C5" s="10">
        <f>SUMIFS(Concentrado!D$2:D$199,Concentrado!$A$2:$A$199,"="&amp;$A5,Concentrado!$B$2:$B$199, "=Coahuila")</f>
        <v>40441</v>
      </c>
      <c r="D5" s="10">
        <f>SUMIFS(Concentrado!E$2:E$199,Concentrado!$A$2:$A$199,"="&amp;$A5,Concentrado!$B$2:$B$199, "=Coahuila")</f>
        <v>0</v>
      </c>
      <c r="E5" s="10">
        <f>SUMIFS(Concentrado!F$2:F$199,Concentrado!$A$2:$A$199,"="&amp;$A5,Concentrado!$B$2:$B$199, "=Coahuila")</f>
        <v>53174</v>
      </c>
    </row>
    <row r="6" spans="1:5" x14ac:dyDescent="0.25">
      <c r="A6" s="7">
        <v>2021</v>
      </c>
      <c r="B6" s="10">
        <f>SUMIFS(Concentrado!C$2:C$199,Concentrado!$A$2:$A$199,"="&amp;$A6,Concentrado!$B$2:$B$199, "=Coahuila")</f>
        <v>16122</v>
      </c>
      <c r="C6" s="10">
        <f>SUMIFS(Concentrado!D$2:D$199,Concentrado!$A$2:$A$199,"="&amp;$A6,Concentrado!$B$2:$B$199, "=Coahuila")</f>
        <v>48211</v>
      </c>
      <c r="D6" s="10">
        <f>SUMIFS(Concentrado!E$2:E$199,Concentrado!$A$2:$A$199,"="&amp;$A6,Concentrado!$B$2:$B$199, "=Coahuila")</f>
        <v>0</v>
      </c>
      <c r="E6" s="10">
        <f>SUMIFS(Concentrado!F$2:F$199,Concentrado!$A$2:$A$199,"="&amp;$A6,Concentrado!$B$2:$B$199, "=Coahuila")</f>
        <v>64333</v>
      </c>
    </row>
    <row r="7" spans="1:5" x14ac:dyDescent="0.25">
      <c r="A7" s="7">
        <v>2022</v>
      </c>
      <c r="B7" s="10">
        <f>SUMIFS(Concentrado!C$2:C$199,Concentrado!$A$2:$A$199,"="&amp;$A7,Concentrado!$B$2:$B$199, "=Coahuila")</f>
        <v>22388</v>
      </c>
      <c r="C7" s="10">
        <f>SUMIFS(Concentrado!D$2:D$199,Concentrado!$A$2:$A$199,"="&amp;$A7,Concentrado!$B$2:$B$199, "=Coahuila")</f>
        <v>49950</v>
      </c>
      <c r="D7" s="10">
        <f>SUMIFS(Concentrado!E$2:E$199,Concentrado!$A$2:$A$199,"="&amp;$A7,Concentrado!$B$2:$B$199, "=Coahuila")</f>
        <v>0</v>
      </c>
      <c r="E7" s="10">
        <f>SUMIFS(Concentrado!F$2:F$199,Concentrado!$A$2:$A$199,"="&amp;$A7,Concentrado!$B$2:$B$199, "=Coahuila")</f>
        <v>72338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J20" sqref="J20:J21"/>
    </sheetView>
  </sheetViews>
  <sheetFormatPr baseColWidth="10" defaultRowHeight="15" x14ac:dyDescent="0.25"/>
  <cols>
    <col min="1" max="1" width="12.140625" customWidth="1"/>
    <col min="2" max="3" width="16.42578125" customWidth="1"/>
    <col min="4" max="4" width="24" customWidth="1"/>
    <col min="5" max="5" width="14" customWidth="1"/>
  </cols>
  <sheetData>
    <row r="1" spans="1:5" s="3" customFormat="1" ht="28.5" x14ac:dyDescent="0.2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5">
      <c r="A2" s="7">
        <v>2017</v>
      </c>
      <c r="B2" s="10">
        <f>SUMIFS(Concentrado!C$2:C$199,Concentrado!$A$2:$A$199,"="&amp;$A2,Concentrado!$B$2:$B$199, "=Colima")</f>
        <v>35911</v>
      </c>
      <c r="C2" s="10">
        <f>SUMIFS(Concentrado!D$2:D$199,Concentrado!$A$2:$A$199,"="&amp;$A2,Concentrado!$B$2:$B$199, "=Colima")</f>
        <v>57891</v>
      </c>
      <c r="D2" s="10">
        <f>SUMIFS(Concentrado!E$2:E$199,Concentrado!$A$2:$A$199,"="&amp;$A2,Concentrado!$B$2:$B$199, "=Colima")</f>
        <v>3036</v>
      </c>
      <c r="E2" s="10">
        <f>SUMIFS(Concentrado!F$2:F$199,Concentrado!$A$2:$A$199,"="&amp;$A2,Concentrado!$B$2:$B$199, "=Colima")</f>
        <v>96838</v>
      </c>
    </row>
    <row r="3" spans="1:5" x14ac:dyDescent="0.25">
      <c r="A3" s="7">
        <v>2018</v>
      </c>
      <c r="B3" s="10">
        <f>SUMIFS(Concentrado!C$2:C$199,Concentrado!$A$2:$A$199,"="&amp;$A3,Concentrado!$B$2:$B$199, "=Colima")</f>
        <v>38912</v>
      </c>
      <c r="C3" s="10">
        <f>SUMIFS(Concentrado!D$2:D$199,Concentrado!$A$2:$A$199,"="&amp;$A3,Concentrado!$B$2:$B$199, "=Colima")</f>
        <v>54352</v>
      </c>
      <c r="D3" s="10">
        <f>SUMIFS(Concentrado!E$2:E$199,Concentrado!$A$2:$A$199,"="&amp;$A3,Concentrado!$B$2:$B$199, "=Colima")</f>
        <v>2740</v>
      </c>
      <c r="E3" s="10">
        <f>SUMIFS(Concentrado!F$2:F$199,Concentrado!$A$2:$A$199,"="&amp;$A3,Concentrado!$B$2:$B$199, "=Colima")</f>
        <v>96004</v>
      </c>
    </row>
    <row r="4" spans="1:5" x14ac:dyDescent="0.25">
      <c r="A4" s="7">
        <v>2019</v>
      </c>
      <c r="B4" s="10">
        <f>SUMIFS(Concentrado!C$2:C$199,Concentrado!$A$2:$A$199,"="&amp;$A4,Concentrado!$B$2:$B$199, "=Colima")</f>
        <v>23155</v>
      </c>
      <c r="C4" s="10">
        <f>SUMIFS(Concentrado!D$2:D$199,Concentrado!$A$2:$A$199,"="&amp;$A4,Concentrado!$B$2:$B$199, "=Colima")</f>
        <v>40659</v>
      </c>
      <c r="D4" s="10">
        <f>SUMIFS(Concentrado!E$2:E$199,Concentrado!$A$2:$A$199,"="&amp;$A4,Concentrado!$B$2:$B$199, "=Colima")</f>
        <v>1629</v>
      </c>
      <c r="E4" s="10">
        <f>SUMIFS(Concentrado!F$2:F$199,Concentrado!$A$2:$A$199,"="&amp;$A4,Concentrado!$B$2:$B$199, "=Colima")</f>
        <v>65443</v>
      </c>
    </row>
    <row r="5" spans="1:5" x14ac:dyDescent="0.25">
      <c r="A5" s="7">
        <v>2020</v>
      </c>
      <c r="B5" s="10">
        <f>SUMIFS(Concentrado!C$2:C$199,Concentrado!$A$2:$A$199,"="&amp;$A5,Concentrado!$B$2:$B$199, "=Colima")</f>
        <v>26791</v>
      </c>
      <c r="C5" s="10">
        <f>SUMIFS(Concentrado!D$2:D$199,Concentrado!$A$2:$A$199,"="&amp;$A5,Concentrado!$B$2:$B$199, "=Colima")</f>
        <v>35079</v>
      </c>
      <c r="D5" s="10">
        <f>SUMIFS(Concentrado!E$2:E$199,Concentrado!$A$2:$A$199,"="&amp;$A5,Concentrado!$B$2:$B$199, "=Colima")</f>
        <v>413</v>
      </c>
      <c r="E5" s="10">
        <f>SUMIFS(Concentrado!F$2:F$199,Concentrado!$A$2:$A$199,"="&amp;$A5,Concentrado!$B$2:$B$199, "=Colima")</f>
        <v>62283</v>
      </c>
    </row>
    <row r="6" spans="1:5" x14ac:dyDescent="0.25">
      <c r="A6" s="7">
        <v>2021</v>
      </c>
      <c r="B6" s="10">
        <f>SUMIFS(Concentrado!C$2:C$199,Concentrado!$A$2:$A$199,"="&amp;$A6,Concentrado!$B$2:$B$199, "=Colima")</f>
        <v>26042</v>
      </c>
      <c r="C6" s="10">
        <f>SUMIFS(Concentrado!D$2:D$199,Concentrado!$A$2:$A$199,"="&amp;$A6,Concentrado!$B$2:$B$199, "=Colima")</f>
        <v>32582</v>
      </c>
      <c r="D6" s="10">
        <f>SUMIFS(Concentrado!E$2:E$199,Concentrado!$A$2:$A$199,"="&amp;$A6,Concentrado!$B$2:$B$199, "=Colima")</f>
        <v>0</v>
      </c>
      <c r="E6" s="10">
        <f>SUMIFS(Concentrado!F$2:F$199,Concentrado!$A$2:$A$199,"="&amp;$A6,Concentrado!$B$2:$B$199, "=Colima")</f>
        <v>58624</v>
      </c>
    </row>
    <row r="7" spans="1:5" x14ac:dyDescent="0.25">
      <c r="A7" s="7">
        <v>2022</v>
      </c>
      <c r="B7" s="10">
        <f>SUMIFS(Concentrado!C$2:C$199,Concentrado!$A$2:$A$199,"="&amp;$A7,Concentrado!$B$2:$B$199, "=Colima")</f>
        <v>29953</v>
      </c>
      <c r="C7" s="10">
        <f>SUMIFS(Concentrado!D$2:D$199,Concentrado!$A$2:$A$199,"="&amp;$A7,Concentrado!$B$2:$B$199, "=Colima")</f>
        <v>39158</v>
      </c>
      <c r="D7" s="10">
        <f>SUMIFS(Concentrado!E$2:E$199,Concentrado!$A$2:$A$199,"="&amp;$A7,Concentrado!$B$2:$B$199, "=Colima")</f>
        <v>0</v>
      </c>
      <c r="E7" s="10">
        <f>SUMIFS(Concentrado!F$2:F$199,Concentrado!$A$2:$A$199,"="&amp;$A7,Concentrado!$B$2:$B$199, "=Colima")</f>
        <v>69111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J20" sqref="J20:J21"/>
    </sheetView>
  </sheetViews>
  <sheetFormatPr baseColWidth="10" defaultRowHeight="15" x14ac:dyDescent="0.25"/>
  <cols>
    <col min="1" max="1" width="12.140625" customWidth="1"/>
    <col min="2" max="3" width="16.42578125" customWidth="1"/>
    <col min="4" max="4" width="24" customWidth="1"/>
    <col min="5" max="5" width="14" customWidth="1"/>
  </cols>
  <sheetData>
    <row r="1" spans="1:5" s="3" customFormat="1" ht="28.5" x14ac:dyDescent="0.2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5">
      <c r="A2" s="7">
        <v>2017</v>
      </c>
      <c r="B2" s="10">
        <f>SUMIFS(Concentrado!C$2:C$199,Concentrado!$A$2:$A$199,"="&amp;$A2,Concentrado!$B$2:$B$199, "=Durango")</f>
        <v>33454</v>
      </c>
      <c r="C2" s="10">
        <f>SUMIFS(Concentrado!D$2:D$199,Concentrado!$A$2:$A$199,"="&amp;$A2,Concentrado!$B$2:$B$199, "=Durango")</f>
        <v>143149</v>
      </c>
      <c r="D2" s="10">
        <f>SUMIFS(Concentrado!E$2:E$199,Concentrado!$A$2:$A$199,"="&amp;$A2,Concentrado!$B$2:$B$199, "=Durango")</f>
        <v>2824</v>
      </c>
      <c r="E2" s="10">
        <f>SUMIFS(Concentrado!F$2:F$199,Concentrado!$A$2:$A$199,"="&amp;$A2,Concentrado!$B$2:$B$199, "=Durango")</f>
        <v>179427</v>
      </c>
    </row>
    <row r="3" spans="1:5" x14ac:dyDescent="0.25">
      <c r="A3" s="7">
        <v>2018</v>
      </c>
      <c r="B3" s="10">
        <f>SUMIFS(Concentrado!C$2:C$199,Concentrado!$A$2:$A$199,"="&amp;$A3,Concentrado!$B$2:$B$199, "=Durango")</f>
        <v>45356</v>
      </c>
      <c r="C3" s="10">
        <f>SUMIFS(Concentrado!D$2:D$199,Concentrado!$A$2:$A$199,"="&amp;$A3,Concentrado!$B$2:$B$199, "=Durango")</f>
        <v>131385</v>
      </c>
      <c r="D3" s="10">
        <f>SUMIFS(Concentrado!E$2:E$199,Concentrado!$A$2:$A$199,"="&amp;$A3,Concentrado!$B$2:$B$199, "=Durango")</f>
        <v>28</v>
      </c>
      <c r="E3" s="10">
        <f>SUMIFS(Concentrado!F$2:F$199,Concentrado!$A$2:$A$199,"="&amp;$A3,Concentrado!$B$2:$B$199, "=Durango")</f>
        <v>176769</v>
      </c>
    </row>
    <row r="4" spans="1:5" x14ac:dyDescent="0.25">
      <c r="A4" s="7">
        <v>2019</v>
      </c>
      <c r="B4" s="10">
        <f>SUMIFS(Concentrado!C$2:C$199,Concentrado!$A$2:$A$199,"="&amp;$A4,Concentrado!$B$2:$B$199, "=Durango")</f>
        <v>48933</v>
      </c>
      <c r="C4" s="10">
        <f>SUMIFS(Concentrado!D$2:D$199,Concentrado!$A$2:$A$199,"="&amp;$A4,Concentrado!$B$2:$B$199, "=Durango")</f>
        <v>148203</v>
      </c>
      <c r="D4" s="10">
        <f>SUMIFS(Concentrado!E$2:E$199,Concentrado!$A$2:$A$199,"="&amp;$A4,Concentrado!$B$2:$B$199, "=Durango")</f>
        <v>30</v>
      </c>
      <c r="E4" s="10">
        <f>SUMIFS(Concentrado!F$2:F$199,Concentrado!$A$2:$A$199,"="&amp;$A4,Concentrado!$B$2:$B$199, "=Durango")</f>
        <v>197166</v>
      </c>
    </row>
    <row r="5" spans="1:5" x14ac:dyDescent="0.25">
      <c r="A5" s="7">
        <v>2020</v>
      </c>
      <c r="B5" s="10">
        <f>SUMIFS(Concentrado!C$2:C$199,Concentrado!$A$2:$A$199,"="&amp;$A5,Concentrado!$B$2:$B$199, "=Durango")</f>
        <v>41696</v>
      </c>
      <c r="C5" s="10">
        <f>SUMIFS(Concentrado!D$2:D$199,Concentrado!$A$2:$A$199,"="&amp;$A5,Concentrado!$B$2:$B$199, "=Durango")</f>
        <v>83526</v>
      </c>
      <c r="D5" s="10">
        <f>SUMIFS(Concentrado!E$2:E$199,Concentrado!$A$2:$A$199,"="&amp;$A5,Concentrado!$B$2:$B$199, "=Durango")</f>
        <v>0</v>
      </c>
      <c r="E5" s="10">
        <f>SUMIFS(Concentrado!F$2:F$199,Concentrado!$A$2:$A$199,"="&amp;$A5,Concentrado!$B$2:$B$199, "=Durango")</f>
        <v>125222</v>
      </c>
    </row>
    <row r="6" spans="1:5" x14ac:dyDescent="0.25">
      <c r="A6" s="7">
        <v>2021</v>
      </c>
      <c r="B6" s="10">
        <f>SUMIFS(Concentrado!C$2:C$199,Concentrado!$A$2:$A$199,"="&amp;$A6,Concentrado!$B$2:$B$199, "=Durango")</f>
        <v>41418</v>
      </c>
      <c r="C6" s="10">
        <f>SUMIFS(Concentrado!D$2:D$199,Concentrado!$A$2:$A$199,"="&amp;$A6,Concentrado!$B$2:$B$199, "=Durango")</f>
        <v>104287</v>
      </c>
      <c r="D6" s="10">
        <f>SUMIFS(Concentrado!E$2:E$199,Concentrado!$A$2:$A$199,"="&amp;$A6,Concentrado!$B$2:$B$199, "=Durango")</f>
        <v>0</v>
      </c>
      <c r="E6" s="10">
        <f>SUMIFS(Concentrado!F$2:F$199,Concentrado!$A$2:$A$199,"="&amp;$A6,Concentrado!$B$2:$B$199, "=Durango")</f>
        <v>145705</v>
      </c>
    </row>
    <row r="7" spans="1:5" x14ac:dyDescent="0.25">
      <c r="A7" s="7">
        <v>2022</v>
      </c>
      <c r="B7" s="10">
        <f>SUMIFS(Concentrado!C$2:C$199,Concentrado!$A$2:$A$199,"="&amp;$A7,Concentrado!$B$2:$B$199, "=Durango")</f>
        <v>43946</v>
      </c>
      <c r="C7" s="10">
        <f>SUMIFS(Concentrado!D$2:D$199,Concentrado!$A$2:$A$199,"="&amp;$A7,Concentrado!$B$2:$B$199, "=Durango")</f>
        <v>103661</v>
      </c>
      <c r="D7" s="10">
        <f>SUMIFS(Concentrado!E$2:E$199,Concentrado!$A$2:$A$199,"="&amp;$A7,Concentrado!$B$2:$B$199, "=Durango")</f>
        <v>0</v>
      </c>
      <c r="E7" s="10">
        <f>SUMIFS(Concentrado!F$2:F$199,Concentrado!$A$2:$A$199,"="&amp;$A7,Concentrado!$B$2:$B$199, "=Durango")</f>
        <v>147607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J20" sqref="J20:J21"/>
    </sheetView>
  </sheetViews>
  <sheetFormatPr baseColWidth="10" defaultRowHeight="15" x14ac:dyDescent="0.25"/>
  <cols>
    <col min="1" max="1" width="12.140625" customWidth="1"/>
    <col min="2" max="3" width="16.42578125" customWidth="1"/>
    <col min="4" max="4" width="24" customWidth="1"/>
    <col min="5" max="5" width="14" customWidth="1"/>
  </cols>
  <sheetData>
    <row r="1" spans="1:5" s="3" customFormat="1" ht="28.5" x14ac:dyDescent="0.2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5">
      <c r="A2" s="7">
        <v>2017</v>
      </c>
      <c r="B2" s="10">
        <f>SUMIFS(Concentrado!C$2:C$199,Concentrado!$A$2:$A$199,"="&amp;$A2,Concentrado!$B$2:$B$199, "=Guanajuato")</f>
        <v>187018</v>
      </c>
      <c r="C2" s="10">
        <f>SUMIFS(Concentrado!D$2:D$199,Concentrado!$A$2:$A$199,"="&amp;$A2,Concentrado!$B$2:$B$199, "=Guanajuato")</f>
        <v>563902</v>
      </c>
      <c r="D2" s="10">
        <f>SUMIFS(Concentrado!E$2:E$199,Concentrado!$A$2:$A$199,"="&amp;$A2,Concentrado!$B$2:$B$199, "=Guanajuato")</f>
        <v>31407</v>
      </c>
      <c r="E2" s="10">
        <f>SUMIFS(Concentrado!F$2:F$199,Concentrado!$A$2:$A$199,"="&amp;$A2,Concentrado!$B$2:$B$199, "=Guanajuato")</f>
        <v>782327</v>
      </c>
    </row>
    <row r="3" spans="1:5" x14ac:dyDescent="0.25">
      <c r="A3" s="7">
        <v>2018</v>
      </c>
      <c r="B3" s="10">
        <f>SUMIFS(Concentrado!C$2:C$199,Concentrado!$A$2:$A$199,"="&amp;$A3,Concentrado!$B$2:$B$199, "=Guanajuato")</f>
        <v>196408</v>
      </c>
      <c r="C3" s="10">
        <f>SUMIFS(Concentrado!D$2:D$199,Concentrado!$A$2:$A$199,"="&amp;$A3,Concentrado!$B$2:$B$199, "=Guanajuato")</f>
        <v>574356</v>
      </c>
      <c r="D3" s="10">
        <f>SUMIFS(Concentrado!E$2:E$199,Concentrado!$A$2:$A$199,"="&amp;$A3,Concentrado!$B$2:$B$199, "=Guanajuato")</f>
        <v>0</v>
      </c>
      <c r="E3" s="10">
        <f>SUMIFS(Concentrado!F$2:F$199,Concentrado!$A$2:$A$199,"="&amp;$A3,Concentrado!$B$2:$B$199, "=Guanajuato")</f>
        <v>770764</v>
      </c>
    </row>
    <row r="4" spans="1:5" x14ac:dyDescent="0.25">
      <c r="A4" s="7">
        <v>2019</v>
      </c>
      <c r="B4" s="10">
        <f>SUMIFS(Concentrado!C$2:C$199,Concentrado!$A$2:$A$199,"="&amp;$A4,Concentrado!$B$2:$B$199, "=Guanajuato")</f>
        <v>225389</v>
      </c>
      <c r="C4" s="10">
        <f>SUMIFS(Concentrado!D$2:D$199,Concentrado!$A$2:$A$199,"="&amp;$A4,Concentrado!$B$2:$B$199, "=Guanajuato")</f>
        <v>609772</v>
      </c>
      <c r="D4" s="10">
        <f>SUMIFS(Concentrado!E$2:E$199,Concentrado!$A$2:$A$199,"="&amp;$A4,Concentrado!$B$2:$B$199, "=Guanajuato")</f>
        <v>0</v>
      </c>
      <c r="E4" s="10">
        <f>SUMIFS(Concentrado!F$2:F$199,Concentrado!$A$2:$A$199,"="&amp;$A4,Concentrado!$B$2:$B$199, "=Guanajuato")</f>
        <v>835161</v>
      </c>
    </row>
    <row r="5" spans="1:5" x14ac:dyDescent="0.25">
      <c r="A5" s="7">
        <v>2020</v>
      </c>
      <c r="B5" s="10">
        <f>SUMIFS(Concentrado!C$2:C$199,Concentrado!$A$2:$A$199,"="&amp;$A5,Concentrado!$B$2:$B$199, "=Guanajuato")</f>
        <v>164931</v>
      </c>
      <c r="C5" s="10">
        <f>SUMIFS(Concentrado!D$2:D$199,Concentrado!$A$2:$A$199,"="&amp;$A5,Concentrado!$B$2:$B$199, "=Guanajuato")</f>
        <v>382127</v>
      </c>
      <c r="D5" s="10">
        <f>SUMIFS(Concentrado!E$2:E$199,Concentrado!$A$2:$A$199,"="&amp;$A5,Concentrado!$B$2:$B$199, "=Guanajuato")</f>
        <v>0</v>
      </c>
      <c r="E5" s="10">
        <f>SUMIFS(Concentrado!F$2:F$199,Concentrado!$A$2:$A$199,"="&amp;$A5,Concentrado!$B$2:$B$199, "=Guanajuato")</f>
        <v>547058</v>
      </c>
    </row>
    <row r="6" spans="1:5" x14ac:dyDescent="0.25">
      <c r="A6" s="7">
        <v>2021</v>
      </c>
      <c r="B6" s="10">
        <f>SUMIFS(Concentrado!C$2:C$199,Concentrado!$A$2:$A$199,"="&amp;$A6,Concentrado!$B$2:$B$199, "=Guanajuato")</f>
        <v>175392</v>
      </c>
      <c r="C6" s="10">
        <f>SUMIFS(Concentrado!D$2:D$199,Concentrado!$A$2:$A$199,"="&amp;$A6,Concentrado!$B$2:$B$199, "=Guanajuato")</f>
        <v>330282</v>
      </c>
      <c r="D6" s="10">
        <f>SUMIFS(Concentrado!E$2:E$199,Concentrado!$A$2:$A$199,"="&amp;$A6,Concentrado!$B$2:$B$199, "=Guanajuato")</f>
        <v>0</v>
      </c>
      <c r="E6" s="10">
        <f>SUMIFS(Concentrado!F$2:F$199,Concentrado!$A$2:$A$199,"="&amp;$A6,Concentrado!$B$2:$B$199, "=Guanajuato")</f>
        <v>505674</v>
      </c>
    </row>
    <row r="7" spans="1:5" x14ac:dyDescent="0.25">
      <c r="A7" s="7">
        <v>2022</v>
      </c>
      <c r="B7" s="10">
        <f>SUMIFS(Concentrado!C$2:C$199,Concentrado!$A$2:$A$199,"="&amp;$A7,Concentrado!$B$2:$B$199, "=Guanajuato")</f>
        <v>190981</v>
      </c>
      <c r="C7" s="10">
        <f>SUMIFS(Concentrado!D$2:D$199,Concentrado!$A$2:$A$199,"="&amp;$A7,Concentrado!$B$2:$B$199, "=Guanajuato")</f>
        <v>414342</v>
      </c>
      <c r="D7" s="10">
        <f>SUMIFS(Concentrado!E$2:E$199,Concentrado!$A$2:$A$199,"="&amp;$A7,Concentrado!$B$2:$B$199, "=Guanajuato")</f>
        <v>0</v>
      </c>
      <c r="E7" s="10">
        <f>SUMIFS(Concentrado!F$2:F$199,Concentrado!$A$2:$A$199,"="&amp;$A7,Concentrado!$B$2:$B$199, "=Guanajuato")</f>
        <v>605323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J20" sqref="J20:J21"/>
    </sheetView>
  </sheetViews>
  <sheetFormatPr baseColWidth="10" defaultRowHeight="15" x14ac:dyDescent="0.25"/>
  <cols>
    <col min="1" max="1" width="12.140625" customWidth="1"/>
    <col min="2" max="3" width="16.42578125" customWidth="1"/>
    <col min="4" max="4" width="24" customWidth="1"/>
    <col min="5" max="5" width="14" customWidth="1"/>
  </cols>
  <sheetData>
    <row r="1" spans="1:5" s="3" customFormat="1" ht="28.5" x14ac:dyDescent="0.2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5">
      <c r="A2" s="7">
        <v>2017</v>
      </c>
      <c r="B2" s="10">
        <f>SUMIFS(Concentrado!C$2:C$199,Concentrado!$A$2:$A$199,"="&amp;$A2,Concentrado!$B$2:$B$199, "=Guerrero")</f>
        <v>44850</v>
      </c>
      <c r="C2" s="10">
        <f>SUMIFS(Concentrado!D$2:D$199,Concentrado!$A$2:$A$199,"="&amp;$A2,Concentrado!$B$2:$B$199, "=Guerrero")</f>
        <v>115803</v>
      </c>
      <c r="D2" s="10">
        <f>SUMIFS(Concentrado!E$2:E$199,Concentrado!$A$2:$A$199,"="&amp;$A2,Concentrado!$B$2:$B$199, "=Guerrero")</f>
        <v>39</v>
      </c>
      <c r="E2" s="10">
        <f>SUMIFS(Concentrado!F$2:F$199,Concentrado!$A$2:$A$199,"="&amp;$A2,Concentrado!$B$2:$B$199, "=Guerrero")</f>
        <v>160692</v>
      </c>
    </row>
    <row r="3" spans="1:5" x14ac:dyDescent="0.25">
      <c r="A3" s="7">
        <v>2018</v>
      </c>
      <c r="B3" s="10">
        <f>SUMIFS(Concentrado!C$2:C$199,Concentrado!$A$2:$A$199,"="&amp;$A3,Concentrado!$B$2:$B$199, "=Guerrero")</f>
        <v>43735</v>
      </c>
      <c r="C3" s="10">
        <f>SUMIFS(Concentrado!D$2:D$199,Concentrado!$A$2:$A$199,"="&amp;$A3,Concentrado!$B$2:$B$199, "=Guerrero")</f>
        <v>99535</v>
      </c>
      <c r="D3" s="10">
        <f>SUMIFS(Concentrado!E$2:E$199,Concentrado!$A$2:$A$199,"="&amp;$A3,Concentrado!$B$2:$B$199, "=Guerrero")</f>
        <v>22</v>
      </c>
      <c r="E3" s="10">
        <f>SUMIFS(Concentrado!F$2:F$199,Concentrado!$A$2:$A$199,"="&amp;$A3,Concentrado!$B$2:$B$199, "=Guerrero")</f>
        <v>143292</v>
      </c>
    </row>
    <row r="4" spans="1:5" x14ac:dyDescent="0.25">
      <c r="A4" s="7">
        <v>2019</v>
      </c>
      <c r="B4" s="10">
        <f>SUMIFS(Concentrado!C$2:C$199,Concentrado!$A$2:$A$199,"="&amp;$A4,Concentrado!$B$2:$B$199, "=Guerrero")</f>
        <v>45664</v>
      </c>
      <c r="C4" s="10">
        <f>SUMIFS(Concentrado!D$2:D$199,Concentrado!$A$2:$A$199,"="&amp;$A4,Concentrado!$B$2:$B$199, "=Guerrero")</f>
        <v>130773</v>
      </c>
      <c r="D4" s="10">
        <f>SUMIFS(Concentrado!E$2:E$199,Concentrado!$A$2:$A$199,"="&amp;$A4,Concentrado!$B$2:$B$199, "=Guerrero")</f>
        <v>1</v>
      </c>
      <c r="E4" s="10">
        <f>SUMIFS(Concentrado!F$2:F$199,Concentrado!$A$2:$A$199,"="&amp;$A4,Concentrado!$B$2:$B$199, "=Guerrero")</f>
        <v>176438</v>
      </c>
    </row>
    <row r="5" spans="1:5" x14ac:dyDescent="0.25">
      <c r="A5" s="7">
        <v>2020</v>
      </c>
      <c r="B5" s="10">
        <f>SUMIFS(Concentrado!C$2:C$199,Concentrado!$A$2:$A$199,"="&amp;$A5,Concentrado!$B$2:$B$199, "=Guerrero")</f>
        <v>38223</v>
      </c>
      <c r="C5" s="10">
        <f>SUMIFS(Concentrado!D$2:D$199,Concentrado!$A$2:$A$199,"="&amp;$A5,Concentrado!$B$2:$B$199, "=Guerrero")</f>
        <v>70567</v>
      </c>
      <c r="D5" s="10">
        <f>SUMIFS(Concentrado!E$2:E$199,Concentrado!$A$2:$A$199,"="&amp;$A5,Concentrado!$B$2:$B$199, "=Guerrero")</f>
        <v>0</v>
      </c>
      <c r="E5" s="10">
        <f>SUMIFS(Concentrado!F$2:F$199,Concentrado!$A$2:$A$199,"="&amp;$A5,Concentrado!$B$2:$B$199, "=Guerrero")</f>
        <v>108790</v>
      </c>
    </row>
    <row r="6" spans="1:5" x14ac:dyDescent="0.25">
      <c r="A6" s="7">
        <v>2021</v>
      </c>
      <c r="B6" s="10">
        <f>SUMIFS(Concentrado!C$2:C$199,Concentrado!$A$2:$A$199,"="&amp;$A6,Concentrado!$B$2:$B$199, "=Guerrero")</f>
        <v>37994</v>
      </c>
      <c r="C6" s="10">
        <f>SUMIFS(Concentrado!D$2:D$199,Concentrado!$A$2:$A$199,"="&amp;$A6,Concentrado!$B$2:$B$199, "=Guerrero")</f>
        <v>72739</v>
      </c>
      <c r="D6" s="10">
        <f>SUMIFS(Concentrado!E$2:E$199,Concentrado!$A$2:$A$199,"="&amp;$A6,Concentrado!$B$2:$B$199, "=Guerrero")</f>
        <v>0</v>
      </c>
      <c r="E6" s="10">
        <f>SUMIFS(Concentrado!F$2:F$199,Concentrado!$A$2:$A$199,"="&amp;$A6,Concentrado!$B$2:$B$199, "=Guerrero")</f>
        <v>110733</v>
      </c>
    </row>
    <row r="7" spans="1:5" x14ac:dyDescent="0.25">
      <c r="A7" s="7">
        <v>2022</v>
      </c>
      <c r="B7" s="10">
        <f>SUMIFS(Concentrado!C$2:C$199,Concentrado!$A$2:$A$199,"="&amp;$A7,Concentrado!$B$2:$B$199, "=Guerrero")</f>
        <v>42320</v>
      </c>
      <c r="C7" s="10">
        <f>SUMIFS(Concentrado!D$2:D$199,Concentrado!$A$2:$A$199,"="&amp;$A7,Concentrado!$B$2:$B$199, "=Guerrero")</f>
        <v>98683</v>
      </c>
      <c r="D7" s="10">
        <f>SUMIFS(Concentrado!E$2:E$199,Concentrado!$A$2:$A$199,"="&amp;$A7,Concentrado!$B$2:$B$199, "=Guerrero")</f>
        <v>0</v>
      </c>
      <c r="E7" s="10">
        <f>SUMIFS(Concentrado!F$2:F$199,Concentrado!$A$2:$A$199,"="&amp;$A7,Concentrado!$B$2:$B$199, "=Guerrero")</f>
        <v>141003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J20" sqref="J20:J21"/>
    </sheetView>
  </sheetViews>
  <sheetFormatPr baseColWidth="10" defaultRowHeight="15" x14ac:dyDescent="0.25"/>
  <cols>
    <col min="1" max="1" width="12.140625" customWidth="1"/>
    <col min="2" max="3" width="16.42578125" customWidth="1"/>
    <col min="4" max="4" width="24" customWidth="1"/>
    <col min="5" max="5" width="14" customWidth="1"/>
  </cols>
  <sheetData>
    <row r="1" spans="1:5" s="3" customFormat="1" ht="28.5" x14ac:dyDescent="0.2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5">
      <c r="A2" s="7">
        <v>2017</v>
      </c>
      <c r="B2" s="10">
        <f>SUMIFS(Concentrado!C$2:C$199,Concentrado!$A$2:$A$199,"="&amp;$A2,Concentrado!$B$2:$B$199, "=Hidalgo")</f>
        <v>145243</v>
      </c>
      <c r="C2" s="10">
        <f>SUMIFS(Concentrado!D$2:D$199,Concentrado!$A$2:$A$199,"="&amp;$A2,Concentrado!$B$2:$B$199, "=Hidalgo")</f>
        <v>117615</v>
      </c>
      <c r="D2" s="10">
        <f>SUMIFS(Concentrado!E$2:E$199,Concentrado!$A$2:$A$199,"="&amp;$A2,Concentrado!$B$2:$B$199, "=Hidalgo")</f>
        <v>4763</v>
      </c>
      <c r="E2" s="10">
        <f>SUMIFS(Concentrado!F$2:F$199,Concentrado!$A$2:$A$199,"="&amp;$A2,Concentrado!$B$2:$B$199, "=Hidalgo")</f>
        <v>267621</v>
      </c>
    </row>
    <row r="3" spans="1:5" x14ac:dyDescent="0.25">
      <c r="A3" s="7">
        <v>2018</v>
      </c>
      <c r="B3" s="10">
        <f>SUMIFS(Concentrado!C$2:C$199,Concentrado!$A$2:$A$199,"="&amp;$A3,Concentrado!$B$2:$B$199, "=Hidalgo")</f>
        <v>126652</v>
      </c>
      <c r="C3" s="10">
        <f>SUMIFS(Concentrado!D$2:D$199,Concentrado!$A$2:$A$199,"="&amp;$A3,Concentrado!$B$2:$B$199, "=Hidalgo")</f>
        <v>97557</v>
      </c>
      <c r="D3" s="10">
        <f>SUMIFS(Concentrado!E$2:E$199,Concentrado!$A$2:$A$199,"="&amp;$A3,Concentrado!$B$2:$B$199, "=Hidalgo")</f>
        <v>6764</v>
      </c>
      <c r="E3" s="10">
        <f>SUMIFS(Concentrado!F$2:F$199,Concentrado!$A$2:$A$199,"="&amp;$A3,Concentrado!$B$2:$B$199, "=Hidalgo")</f>
        <v>230973</v>
      </c>
    </row>
    <row r="4" spans="1:5" x14ac:dyDescent="0.25">
      <c r="A4" s="7">
        <v>2019</v>
      </c>
      <c r="B4" s="10">
        <f>SUMIFS(Concentrado!C$2:C$199,Concentrado!$A$2:$A$199,"="&amp;$A4,Concentrado!$B$2:$B$199, "=Hidalgo")</f>
        <v>109478</v>
      </c>
      <c r="C4" s="10">
        <f>SUMIFS(Concentrado!D$2:D$199,Concentrado!$A$2:$A$199,"="&amp;$A4,Concentrado!$B$2:$B$199, "=Hidalgo")</f>
        <v>131989</v>
      </c>
      <c r="D4" s="10">
        <f>SUMIFS(Concentrado!E$2:E$199,Concentrado!$A$2:$A$199,"="&amp;$A4,Concentrado!$B$2:$B$199, "=Hidalgo")</f>
        <v>2461</v>
      </c>
      <c r="E4" s="10">
        <f>SUMIFS(Concentrado!F$2:F$199,Concentrado!$A$2:$A$199,"="&amp;$A4,Concentrado!$B$2:$B$199, "=Hidalgo")</f>
        <v>243928</v>
      </c>
    </row>
    <row r="5" spans="1:5" x14ac:dyDescent="0.25">
      <c r="A5" s="7">
        <v>2020</v>
      </c>
      <c r="B5" s="10">
        <f>SUMIFS(Concentrado!C$2:C$199,Concentrado!$A$2:$A$199,"="&amp;$A5,Concentrado!$B$2:$B$199, "=Hidalgo")</f>
        <v>56349</v>
      </c>
      <c r="C5" s="10">
        <f>SUMIFS(Concentrado!D$2:D$199,Concentrado!$A$2:$A$199,"="&amp;$A5,Concentrado!$B$2:$B$199, "=Hidalgo")</f>
        <v>60536</v>
      </c>
      <c r="D5" s="10">
        <f>SUMIFS(Concentrado!E$2:E$199,Concentrado!$A$2:$A$199,"="&amp;$A5,Concentrado!$B$2:$B$199, "=Hidalgo")</f>
        <v>1106</v>
      </c>
      <c r="E5" s="10">
        <f>SUMIFS(Concentrado!F$2:F$199,Concentrado!$A$2:$A$199,"="&amp;$A5,Concentrado!$B$2:$B$199, "=Hidalgo")</f>
        <v>117991</v>
      </c>
    </row>
    <row r="6" spans="1:5" x14ac:dyDescent="0.25">
      <c r="A6" s="7">
        <v>2021</v>
      </c>
      <c r="B6" s="10">
        <f>SUMIFS(Concentrado!C$2:C$199,Concentrado!$A$2:$A$199,"="&amp;$A6,Concentrado!$B$2:$B$199, "=Hidalgo")</f>
        <v>73806</v>
      </c>
      <c r="C6" s="10">
        <f>SUMIFS(Concentrado!D$2:D$199,Concentrado!$A$2:$A$199,"="&amp;$A6,Concentrado!$B$2:$B$199, "=Hidalgo")</f>
        <v>52560</v>
      </c>
      <c r="D6" s="10">
        <f>SUMIFS(Concentrado!E$2:E$199,Concentrado!$A$2:$A$199,"="&amp;$A6,Concentrado!$B$2:$B$199, "=Hidalgo")</f>
        <v>0</v>
      </c>
      <c r="E6" s="10">
        <f>SUMIFS(Concentrado!F$2:F$199,Concentrado!$A$2:$A$199,"="&amp;$A6,Concentrado!$B$2:$B$199, "=Hidalgo")</f>
        <v>126366</v>
      </c>
    </row>
    <row r="7" spans="1:5" x14ac:dyDescent="0.25">
      <c r="A7" s="7">
        <v>2022</v>
      </c>
      <c r="B7" s="10">
        <f>SUMIFS(Concentrado!C$2:C$199,Concentrado!$A$2:$A$199,"="&amp;$A7,Concentrado!$B$2:$B$199, "=Hidalgo")</f>
        <v>59556</v>
      </c>
      <c r="C7" s="10">
        <f>SUMIFS(Concentrado!D$2:D$199,Concentrado!$A$2:$A$199,"="&amp;$A7,Concentrado!$B$2:$B$199, "=Hidalgo")</f>
        <v>65422</v>
      </c>
      <c r="D7" s="10">
        <f>SUMIFS(Concentrado!E$2:E$199,Concentrado!$A$2:$A$199,"="&amp;$A7,Concentrado!$B$2:$B$199, "=Hidalgo")</f>
        <v>0</v>
      </c>
      <c r="E7" s="10">
        <f>SUMIFS(Concentrado!F$2:F$199,Concentrado!$A$2:$A$199,"="&amp;$A7,Concentrado!$B$2:$B$199, "=Hidalgo")</f>
        <v>124978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J20" sqref="J20:J21"/>
    </sheetView>
  </sheetViews>
  <sheetFormatPr baseColWidth="10" defaultRowHeight="15" x14ac:dyDescent="0.25"/>
  <cols>
    <col min="1" max="1" width="12.140625" customWidth="1"/>
    <col min="2" max="3" width="16.42578125" customWidth="1"/>
    <col min="4" max="4" width="24" customWidth="1"/>
    <col min="5" max="5" width="14" customWidth="1"/>
  </cols>
  <sheetData>
    <row r="1" spans="1:5" s="3" customFormat="1" ht="28.5" x14ac:dyDescent="0.2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5">
      <c r="A2" s="7">
        <v>2017</v>
      </c>
      <c r="B2" s="10">
        <f>SUMIFS(Concentrado!C$2:C$199,Concentrado!$A$2:$A$199,"="&amp;$A2,Concentrado!$B$2:$B$199, "=Jalisco")</f>
        <v>222600</v>
      </c>
      <c r="C2" s="10">
        <f>SUMIFS(Concentrado!D$2:D$199,Concentrado!$A$2:$A$199,"="&amp;$A2,Concentrado!$B$2:$B$199, "=Jalisco")</f>
        <v>309763</v>
      </c>
      <c r="D2" s="10">
        <f>SUMIFS(Concentrado!E$2:E$199,Concentrado!$A$2:$A$199,"="&amp;$A2,Concentrado!$B$2:$B$199, "=Jalisco")</f>
        <v>711</v>
      </c>
      <c r="E2" s="10">
        <f>SUMIFS(Concentrado!F$2:F$199,Concentrado!$A$2:$A$199,"="&amp;$A2,Concentrado!$B$2:$B$199, "=Jalisco")</f>
        <v>533074</v>
      </c>
    </row>
    <row r="3" spans="1:5" x14ac:dyDescent="0.25">
      <c r="A3" s="7">
        <v>2018</v>
      </c>
      <c r="B3" s="10">
        <f>SUMIFS(Concentrado!C$2:C$199,Concentrado!$A$2:$A$199,"="&amp;$A3,Concentrado!$B$2:$B$199, "=Jalisco")</f>
        <v>229768</v>
      </c>
      <c r="C3" s="10">
        <f>SUMIFS(Concentrado!D$2:D$199,Concentrado!$A$2:$A$199,"="&amp;$A3,Concentrado!$B$2:$B$199, "=Jalisco")</f>
        <v>271280</v>
      </c>
      <c r="D3" s="10">
        <f>SUMIFS(Concentrado!E$2:E$199,Concentrado!$A$2:$A$199,"="&amp;$A3,Concentrado!$B$2:$B$199, "=Jalisco")</f>
        <v>251</v>
      </c>
      <c r="E3" s="10">
        <f>SUMIFS(Concentrado!F$2:F$199,Concentrado!$A$2:$A$199,"="&amp;$A3,Concentrado!$B$2:$B$199, "=Jalisco")</f>
        <v>501299</v>
      </c>
    </row>
    <row r="4" spans="1:5" x14ac:dyDescent="0.25">
      <c r="A4" s="7">
        <v>2019</v>
      </c>
      <c r="B4" s="10">
        <f>SUMIFS(Concentrado!C$2:C$199,Concentrado!$A$2:$A$199,"="&amp;$A4,Concentrado!$B$2:$B$199, "=Jalisco")</f>
        <v>266571</v>
      </c>
      <c r="C4" s="10">
        <f>SUMIFS(Concentrado!D$2:D$199,Concentrado!$A$2:$A$199,"="&amp;$A4,Concentrado!$B$2:$B$199, "=Jalisco")</f>
        <v>303271</v>
      </c>
      <c r="D4" s="10">
        <f>SUMIFS(Concentrado!E$2:E$199,Concentrado!$A$2:$A$199,"="&amp;$A4,Concentrado!$B$2:$B$199, "=Jalisco")</f>
        <v>108</v>
      </c>
      <c r="E4" s="10">
        <f>SUMIFS(Concentrado!F$2:F$199,Concentrado!$A$2:$A$199,"="&amp;$A4,Concentrado!$B$2:$B$199, "=Jalisco")</f>
        <v>569950</v>
      </c>
    </row>
    <row r="5" spans="1:5" x14ac:dyDescent="0.25">
      <c r="A5" s="7">
        <v>2020</v>
      </c>
      <c r="B5" s="10">
        <f>SUMIFS(Concentrado!C$2:C$199,Concentrado!$A$2:$A$199,"="&amp;$A5,Concentrado!$B$2:$B$199, "=Jalisco")</f>
        <v>181537</v>
      </c>
      <c r="C5" s="10">
        <f>SUMIFS(Concentrado!D$2:D$199,Concentrado!$A$2:$A$199,"="&amp;$A5,Concentrado!$B$2:$B$199, "=Jalisco")</f>
        <v>165342</v>
      </c>
      <c r="D5" s="10">
        <f>SUMIFS(Concentrado!E$2:E$199,Concentrado!$A$2:$A$199,"="&amp;$A5,Concentrado!$B$2:$B$199, "=Jalisco")</f>
        <v>9</v>
      </c>
      <c r="E5" s="10">
        <f>SUMIFS(Concentrado!F$2:F$199,Concentrado!$A$2:$A$199,"="&amp;$A5,Concentrado!$B$2:$B$199, "=Jalisco")</f>
        <v>346888</v>
      </c>
    </row>
    <row r="6" spans="1:5" x14ac:dyDescent="0.25">
      <c r="A6" s="7">
        <v>2021</v>
      </c>
      <c r="B6" s="10">
        <f>SUMIFS(Concentrado!C$2:C$199,Concentrado!$A$2:$A$199,"="&amp;$A6,Concentrado!$B$2:$B$199, "=Jalisco")</f>
        <v>112079</v>
      </c>
      <c r="C6" s="10">
        <f>SUMIFS(Concentrado!D$2:D$199,Concentrado!$A$2:$A$199,"="&amp;$A6,Concentrado!$B$2:$B$199, "=Jalisco")</f>
        <v>184668</v>
      </c>
      <c r="D6" s="10">
        <f>SUMIFS(Concentrado!E$2:E$199,Concentrado!$A$2:$A$199,"="&amp;$A6,Concentrado!$B$2:$B$199, "=Jalisco")</f>
        <v>0</v>
      </c>
      <c r="E6" s="10">
        <f>SUMIFS(Concentrado!F$2:F$199,Concentrado!$A$2:$A$199,"="&amp;$A6,Concentrado!$B$2:$B$199, "=Jalisco")</f>
        <v>296747</v>
      </c>
    </row>
    <row r="7" spans="1:5" x14ac:dyDescent="0.25">
      <c r="A7" s="7">
        <v>2022</v>
      </c>
      <c r="B7" s="10">
        <f>SUMIFS(Concentrado!C$2:C$199,Concentrado!$A$2:$A$199,"="&amp;$A7,Concentrado!$B$2:$B$199, "=Jalisco")</f>
        <v>164549</v>
      </c>
      <c r="C7" s="10">
        <f>SUMIFS(Concentrado!D$2:D$199,Concentrado!$A$2:$A$199,"="&amp;$A7,Concentrado!$B$2:$B$199, "=Jalisco")</f>
        <v>238080</v>
      </c>
      <c r="D7" s="10">
        <f>SUMIFS(Concentrado!E$2:E$199,Concentrado!$A$2:$A$199,"="&amp;$A7,Concentrado!$B$2:$B$199, "=Jalisco")</f>
        <v>0</v>
      </c>
      <c r="E7" s="10">
        <f>SUMIFS(Concentrado!F$2:F$199,Concentrado!$A$2:$A$199,"="&amp;$A7,Concentrado!$B$2:$B$199, "=Jalisco")</f>
        <v>402629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J20" sqref="J20:J21"/>
    </sheetView>
  </sheetViews>
  <sheetFormatPr baseColWidth="10" defaultRowHeight="15" x14ac:dyDescent="0.25"/>
  <cols>
    <col min="1" max="1" width="12.140625" customWidth="1"/>
    <col min="2" max="3" width="16.42578125" customWidth="1"/>
    <col min="4" max="4" width="24" customWidth="1"/>
    <col min="5" max="5" width="14" customWidth="1"/>
  </cols>
  <sheetData>
    <row r="1" spans="1:5" s="3" customFormat="1" ht="28.5" x14ac:dyDescent="0.2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5">
      <c r="A2" s="7">
        <v>2017</v>
      </c>
      <c r="B2" s="10">
        <f>SUMIFS(Concentrado!C$2:C$199,Concentrado!$A$2:$A$199,"="&amp;$A2,Concentrado!$B$2:$B$199, "=México")</f>
        <v>285482</v>
      </c>
      <c r="C2" s="10">
        <f>SUMIFS(Concentrado!D$2:D$199,Concentrado!$A$2:$A$199,"="&amp;$A2,Concentrado!$B$2:$B$199, "=México")</f>
        <v>836560</v>
      </c>
      <c r="D2" s="10">
        <f>SUMIFS(Concentrado!E$2:E$199,Concentrado!$A$2:$A$199,"="&amp;$A2,Concentrado!$B$2:$B$199, "=México")</f>
        <v>1993</v>
      </c>
      <c r="E2" s="10">
        <f>SUMIFS(Concentrado!F$2:F$199,Concentrado!$A$2:$A$199,"="&amp;$A2,Concentrado!$B$2:$B$199, "=México")</f>
        <v>1124035</v>
      </c>
    </row>
    <row r="3" spans="1:5" x14ac:dyDescent="0.25">
      <c r="A3" s="7">
        <v>2018</v>
      </c>
      <c r="B3" s="10">
        <f>SUMIFS(Concentrado!C$2:C$199,Concentrado!$A$2:$A$199,"="&amp;$A3,Concentrado!$B$2:$B$199, "=México")</f>
        <v>329242</v>
      </c>
      <c r="C3" s="10">
        <f>SUMIFS(Concentrado!D$2:D$199,Concentrado!$A$2:$A$199,"="&amp;$A3,Concentrado!$B$2:$B$199, "=México")</f>
        <v>718494</v>
      </c>
      <c r="D3" s="10">
        <f>SUMIFS(Concentrado!E$2:E$199,Concentrado!$A$2:$A$199,"="&amp;$A3,Concentrado!$B$2:$B$199, "=México")</f>
        <v>1883</v>
      </c>
      <c r="E3" s="10">
        <f>SUMIFS(Concentrado!F$2:F$199,Concentrado!$A$2:$A$199,"="&amp;$A3,Concentrado!$B$2:$B$199, "=México")</f>
        <v>1049619</v>
      </c>
    </row>
    <row r="4" spans="1:5" x14ac:dyDescent="0.25">
      <c r="A4" s="7">
        <v>2019</v>
      </c>
      <c r="B4" s="10">
        <f>SUMIFS(Concentrado!C$2:C$199,Concentrado!$A$2:$A$199,"="&amp;$A4,Concentrado!$B$2:$B$199, "=México")</f>
        <v>313202</v>
      </c>
      <c r="C4" s="10">
        <f>SUMIFS(Concentrado!D$2:D$199,Concentrado!$A$2:$A$199,"="&amp;$A4,Concentrado!$B$2:$B$199, "=México")</f>
        <v>716089</v>
      </c>
      <c r="D4" s="10">
        <f>SUMIFS(Concentrado!E$2:E$199,Concentrado!$A$2:$A$199,"="&amp;$A4,Concentrado!$B$2:$B$199, "=México")</f>
        <v>1835</v>
      </c>
      <c r="E4" s="10">
        <f>SUMIFS(Concentrado!F$2:F$199,Concentrado!$A$2:$A$199,"="&amp;$A4,Concentrado!$B$2:$B$199, "=México")</f>
        <v>1031126</v>
      </c>
    </row>
    <row r="5" spans="1:5" x14ac:dyDescent="0.25">
      <c r="A5" s="7">
        <v>2020</v>
      </c>
      <c r="B5" s="10">
        <f>SUMIFS(Concentrado!C$2:C$199,Concentrado!$A$2:$A$199,"="&amp;$A5,Concentrado!$B$2:$B$199, "=México")</f>
        <v>176214</v>
      </c>
      <c r="C5" s="10">
        <f>SUMIFS(Concentrado!D$2:D$199,Concentrado!$A$2:$A$199,"="&amp;$A5,Concentrado!$B$2:$B$199, "=México")</f>
        <v>417881</v>
      </c>
      <c r="D5" s="10">
        <f>SUMIFS(Concentrado!E$2:E$199,Concentrado!$A$2:$A$199,"="&amp;$A5,Concentrado!$B$2:$B$199, "=México")</f>
        <v>151</v>
      </c>
      <c r="E5" s="10">
        <f>SUMIFS(Concentrado!F$2:F$199,Concentrado!$A$2:$A$199,"="&amp;$A5,Concentrado!$B$2:$B$199, "=México")</f>
        <v>594246</v>
      </c>
    </row>
    <row r="6" spans="1:5" x14ac:dyDescent="0.25">
      <c r="A6" s="7">
        <v>2021</v>
      </c>
      <c r="B6" s="10">
        <f>SUMIFS(Concentrado!C$2:C$199,Concentrado!$A$2:$A$199,"="&amp;$A6,Concentrado!$B$2:$B$199, "=México")</f>
        <v>165894</v>
      </c>
      <c r="C6" s="10">
        <f>SUMIFS(Concentrado!D$2:D$199,Concentrado!$A$2:$A$199,"="&amp;$A6,Concentrado!$B$2:$B$199, "=México")</f>
        <v>422749</v>
      </c>
      <c r="D6" s="10">
        <f>SUMIFS(Concentrado!E$2:E$199,Concentrado!$A$2:$A$199,"="&amp;$A6,Concentrado!$B$2:$B$199, "=México")</f>
        <v>0</v>
      </c>
      <c r="E6" s="10">
        <f>SUMIFS(Concentrado!F$2:F$199,Concentrado!$A$2:$A$199,"="&amp;$A6,Concentrado!$B$2:$B$199, "=México")</f>
        <v>588643</v>
      </c>
    </row>
    <row r="7" spans="1:5" x14ac:dyDescent="0.25">
      <c r="A7" s="7">
        <v>2022</v>
      </c>
      <c r="B7" s="10">
        <f>SUMIFS(Concentrado!C$2:C$199,Concentrado!$A$2:$A$199,"="&amp;$A7,Concentrado!$B$2:$B$199, "=México")</f>
        <v>215162</v>
      </c>
      <c r="C7" s="10">
        <f>SUMIFS(Concentrado!D$2:D$199,Concentrado!$A$2:$A$199,"="&amp;$A7,Concentrado!$B$2:$B$199, "=México")</f>
        <v>584375</v>
      </c>
      <c r="D7" s="10">
        <f>SUMIFS(Concentrado!E$2:E$199,Concentrado!$A$2:$A$199,"="&amp;$A7,Concentrado!$B$2:$B$199, "=México")</f>
        <v>0</v>
      </c>
      <c r="E7" s="10">
        <f>SUMIFS(Concentrado!F$2:F$199,Concentrado!$A$2:$A$199,"="&amp;$A7,Concentrado!$B$2:$B$199, "=México")</f>
        <v>799537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J20" sqref="J20:J21"/>
    </sheetView>
  </sheetViews>
  <sheetFormatPr baseColWidth="10" defaultRowHeight="15" x14ac:dyDescent="0.25"/>
  <cols>
    <col min="1" max="1" width="12.140625" customWidth="1"/>
    <col min="2" max="3" width="16.42578125" customWidth="1"/>
    <col min="4" max="4" width="24" customWidth="1"/>
    <col min="5" max="5" width="14" customWidth="1"/>
  </cols>
  <sheetData>
    <row r="1" spans="1:5" s="3" customFormat="1" ht="28.5" x14ac:dyDescent="0.2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5">
      <c r="A2" s="7">
        <v>2017</v>
      </c>
      <c r="B2" s="10">
        <f>SUMIFS(Concentrado!C$2:C$199,Concentrado!$A$2:$A$199,"="&amp;$A2,Concentrado!$B$2:$B$199, "=Michoacán")</f>
        <v>96547</v>
      </c>
      <c r="C2" s="10">
        <f>SUMIFS(Concentrado!D$2:D$199,Concentrado!$A$2:$A$199,"="&amp;$A2,Concentrado!$B$2:$B$199, "=Michoacán")</f>
        <v>215908</v>
      </c>
      <c r="D2" s="10">
        <f>SUMIFS(Concentrado!E$2:E$199,Concentrado!$A$2:$A$199,"="&amp;$A2,Concentrado!$B$2:$B$199, "=Michoacán")</f>
        <v>2106</v>
      </c>
      <c r="E2" s="10">
        <f>SUMIFS(Concentrado!F$2:F$199,Concentrado!$A$2:$A$199,"="&amp;$A2,Concentrado!$B$2:$B$199, "=Michoacán")</f>
        <v>314561</v>
      </c>
    </row>
    <row r="3" spans="1:5" x14ac:dyDescent="0.25">
      <c r="A3" s="7">
        <v>2018</v>
      </c>
      <c r="B3" s="10">
        <f>SUMIFS(Concentrado!C$2:C$199,Concentrado!$A$2:$A$199,"="&amp;$A3,Concentrado!$B$2:$B$199, "=Michoacán")</f>
        <v>65289</v>
      </c>
      <c r="C3" s="10">
        <f>SUMIFS(Concentrado!D$2:D$199,Concentrado!$A$2:$A$199,"="&amp;$A3,Concentrado!$B$2:$B$199, "=Michoacán")</f>
        <v>153850</v>
      </c>
      <c r="D3" s="10">
        <f>SUMIFS(Concentrado!E$2:E$199,Concentrado!$A$2:$A$199,"="&amp;$A3,Concentrado!$B$2:$B$199, "=Michoacán")</f>
        <v>155</v>
      </c>
      <c r="E3" s="10">
        <f>SUMIFS(Concentrado!F$2:F$199,Concentrado!$A$2:$A$199,"="&amp;$A3,Concentrado!$B$2:$B$199, "=Michoacán")</f>
        <v>219294</v>
      </c>
    </row>
    <row r="4" spans="1:5" x14ac:dyDescent="0.25">
      <c r="A4" s="7">
        <v>2019</v>
      </c>
      <c r="B4" s="10">
        <f>SUMIFS(Concentrado!C$2:C$199,Concentrado!$A$2:$A$199,"="&amp;$A4,Concentrado!$B$2:$B$199, "=Michoacán")</f>
        <v>71921</v>
      </c>
      <c r="C4" s="10">
        <f>SUMIFS(Concentrado!D$2:D$199,Concentrado!$A$2:$A$199,"="&amp;$A4,Concentrado!$B$2:$B$199, "=Michoacán")</f>
        <v>164504</v>
      </c>
      <c r="D4" s="10">
        <f>SUMIFS(Concentrado!E$2:E$199,Concentrado!$A$2:$A$199,"="&amp;$A4,Concentrado!$B$2:$B$199, "=Michoacán")</f>
        <v>0</v>
      </c>
      <c r="E4" s="10">
        <f>SUMIFS(Concentrado!F$2:F$199,Concentrado!$A$2:$A$199,"="&amp;$A4,Concentrado!$B$2:$B$199, "=Michoacán")</f>
        <v>236425</v>
      </c>
    </row>
    <row r="5" spans="1:5" x14ac:dyDescent="0.25">
      <c r="A5" s="7">
        <v>2020</v>
      </c>
      <c r="B5" s="10">
        <f>SUMIFS(Concentrado!C$2:C$199,Concentrado!$A$2:$A$199,"="&amp;$A5,Concentrado!$B$2:$B$199, "=Michoacán")</f>
        <v>57138</v>
      </c>
      <c r="C5" s="10">
        <f>SUMIFS(Concentrado!D$2:D$199,Concentrado!$A$2:$A$199,"="&amp;$A5,Concentrado!$B$2:$B$199, "=Michoacán")</f>
        <v>94621</v>
      </c>
      <c r="D5" s="10">
        <f>SUMIFS(Concentrado!E$2:E$199,Concentrado!$A$2:$A$199,"="&amp;$A5,Concentrado!$B$2:$B$199, "=Michoacán")</f>
        <v>0</v>
      </c>
      <c r="E5" s="10">
        <f>SUMIFS(Concentrado!F$2:F$199,Concentrado!$A$2:$A$199,"="&amp;$A5,Concentrado!$B$2:$B$199, "=Michoacán")</f>
        <v>151759</v>
      </c>
    </row>
    <row r="6" spans="1:5" x14ac:dyDescent="0.25">
      <c r="A6" s="7">
        <v>2021</v>
      </c>
      <c r="B6" s="10">
        <f>SUMIFS(Concentrado!C$2:C$199,Concentrado!$A$2:$A$199,"="&amp;$A6,Concentrado!$B$2:$B$199, "=Michoacán")</f>
        <v>64737</v>
      </c>
      <c r="C6" s="10">
        <f>SUMIFS(Concentrado!D$2:D$199,Concentrado!$A$2:$A$199,"="&amp;$A6,Concentrado!$B$2:$B$199, "=Michoacán")</f>
        <v>80865</v>
      </c>
      <c r="D6" s="10">
        <f>SUMIFS(Concentrado!E$2:E$199,Concentrado!$A$2:$A$199,"="&amp;$A6,Concentrado!$B$2:$B$199, "=Michoacán")</f>
        <v>0</v>
      </c>
      <c r="E6" s="10">
        <f>SUMIFS(Concentrado!F$2:F$199,Concentrado!$A$2:$A$199,"="&amp;$A6,Concentrado!$B$2:$B$199, "=Michoacán")</f>
        <v>145602</v>
      </c>
    </row>
    <row r="7" spans="1:5" x14ac:dyDescent="0.25">
      <c r="A7" s="7">
        <v>2022</v>
      </c>
      <c r="B7" s="10">
        <f>SUMIFS(Concentrado!C$2:C$199,Concentrado!$A$2:$A$199,"="&amp;$A7,Concentrado!$B$2:$B$199, "=Michoacán")</f>
        <v>76406</v>
      </c>
      <c r="C7" s="10">
        <f>SUMIFS(Concentrado!D$2:D$199,Concentrado!$A$2:$A$199,"="&amp;$A7,Concentrado!$B$2:$B$199, "=Michoacán")</f>
        <v>78611</v>
      </c>
      <c r="D7" s="10">
        <f>SUMIFS(Concentrado!E$2:E$199,Concentrado!$A$2:$A$199,"="&amp;$A7,Concentrado!$B$2:$B$199, "=Michoacán")</f>
        <v>0</v>
      </c>
      <c r="E7" s="10">
        <f>SUMIFS(Concentrado!F$2:F$199,Concentrado!$A$2:$A$199,"="&amp;$A7,Concentrado!$B$2:$B$199, "=Michoacán")</f>
        <v>155017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J20" sqref="J20:J21"/>
    </sheetView>
  </sheetViews>
  <sheetFormatPr baseColWidth="10" defaultRowHeight="15" x14ac:dyDescent="0.25"/>
  <cols>
    <col min="1" max="1" width="12.140625" customWidth="1"/>
    <col min="2" max="3" width="16.42578125" customWidth="1"/>
    <col min="4" max="4" width="24" customWidth="1"/>
    <col min="5" max="5" width="14" customWidth="1"/>
  </cols>
  <sheetData>
    <row r="1" spans="1:5" s="3" customFormat="1" ht="28.5" x14ac:dyDescent="0.2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5">
      <c r="A2" s="7">
        <v>2017</v>
      </c>
      <c r="B2" s="10">
        <f>SUMIFS(Concentrado!C$2:C$199,Concentrado!$A$2:$A$199,"="&amp;$A2,Concentrado!$B$2:$B$199, "=Morelos")</f>
        <v>89151</v>
      </c>
      <c r="C2" s="10">
        <f>SUMIFS(Concentrado!D$2:D$199,Concentrado!$A$2:$A$199,"="&amp;$A2,Concentrado!$B$2:$B$199, "=Morelos")</f>
        <v>108786</v>
      </c>
      <c r="D2" s="10">
        <f>SUMIFS(Concentrado!E$2:E$199,Concentrado!$A$2:$A$199,"="&amp;$A2,Concentrado!$B$2:$B$199, "=Morelos")</f>
        <v>875</v>
      </c>
      <c r="E2" s="10">
        <f>SUMIFS(Concentrado!F$2:F$199,Concentrado!$A$2:$A$199,"="&amp;$A2,Concentrado!$B$2:$B$199, "=Morelos")</f>
        <v>198812</v>
      </c>
    </row>
    <row r="3" spans="1:5" x14ac:dyDescent="0.25">
      <c r="A3" s="7">
        <v>2018</v>
      </c>
      <c r="B3" s="10">
        <f>SUMIFS(Concentrado!C$2:C$199,Concentrado!$A$2:$A$199,"="&amp;$A3,Concentrado!$B$2:$B$199, "=Morelos")</f>
        <v>52418</v>
      </c>
      <c r="C3" s="10">
        <f>SUMIFS(Concentrado!D$2:D$199,Concentrado!$A$2:$A$199,"="&amp;$A3,Concentrado!$B$2:$B$199, "=Morelos")</f>
        <v>104698</v>
      </c>
      <c r="D3" s="10">
        <f>SUMIFS(Concentrado!E$2:E$199,Concentrado!$A$2:$A$199,"="&amp;$A3,Concentrado!$B$2:$B$199, "=Morelos")</f>
        <v>275</v>
      </c>
      <c r="E3" s="10">
        <f>SUMIFS(Concentrado!F$2:F$199,Concentrado!$A$2:$A$199,"="&amp;$A3,Concentrado!$B$2:$B$199, "=Morelos")</f>
        <v>157391</v>
      </c>
    </row>
    <row r="4" spans="1:5" x14ac:dyDescent="0.25">
      <c r="A4" s="7">
        <v>2019</v>
      </c>
      <c r="B4" s="10">
        <f>SUMIFS(Concentrado!C$2:C$199,Concentrado!$A$2:$A$199,"="&amp;$A4,Concentrado!$B$2:$B$199, "=Morelos")</f>
        <v>49126</v>
      </c>
      <c r="C4" s="10">
        <f>SUMIFS(Concentrado!D$2:D$199,Concentrado!$A$2:$A$199,"="&amp;$A4,Concentrado!$B$2:$B$199, "=Morelos")</f>
        <v>118047</v>
      </c>
      <c r="D4" s="10">
        <f>SUMIFS(Concentrado!E$2:E$199,Concentrado!$A$2:$A$199,"="&amp;$A4,Concentrado!$B$2:$B$199, "=Morelos")</f>
        <v>49</v>
      </c>
      <c r="E4" s="10">
        <f>SUMIFS(Concentrado!F$2:F$199,Concentrado!$A$2:$A$199,"="&amp;$A4,Concentrado!$B$2:$B$199, "=Morelos")</f>
        <v>167222</v>
      </c>
    </row>
    <row r="5" spans="1:5" x14ac:dyDescent="0.25">
      <c r="A5" s="7">
        <v>2020</v>
      </c>
      <c r="B5" s="10">
        <f>SUMIFS(Concentrado!C$2:C$199,Concentrado!$A$2:$A$199,"="&amp;$A5,Concentrado!$B$2:$B$199, "=Morelos")</f>
        <v>21692</v>
      </c>
      <c r="C5" s="10">
        <f>SUMIFS(Concentrado!D$2:D$199,Concentrado!$A$2:$A$199,"="&amp;$A5,Concentrado!$B$2:$B$199, "=Morelos")</f>
        <v>66597</v>
      </c>
      <c r="D5" s="10">
        <f>SUMIFS(Concentrado!E$2:E$199,Concentrado!$A$2:$A$199,"="&amp;$A5,Concentrado!$B$2:$B$199, "=Morelos")</f>
        <v>11</v>
      </c>
      <c r="E5" s="10">
        <f>SUMIFS(Concentrado!F$2:F$199,Concentrado!$A$2:$A$199,"="&amp;$A5,Concentrado!$B$2:$B$199, "=Morelos")</f>
        <v>88300</v>
      </c>
    </row>
    <row r="6" spans="1:5" x14ac:dyDescent="0.25">
      <c r="A6" s="7">
        <v>2021</v>
      </c>
      <c r="B6" s="10">
        <f>SUMIFS(Concentrado!C$2:C$199,Concentrado!$A$2:$A$199,"="&amp;$A6,Concentrado!$B$2:$B$199, "=Morelos")</f>
        <v>33718</v>
      </c>
      <c r="C6" s="10">
        <f>SUMIFS(Concentrado!D$2:D$199,Concentrado!$A$2:$A$199,"="&amp;$A6,Concentrado!$B$2:$B$199, "=Morelos")</f>
        <v>53807</v>
      </c>
      <c r="D6" s="10">
        <f>SUMIFS(Concentrado!E$2:E$199,Concentrado!$A$2:$A$199,"="&amp;$A6,Concentrado!$B$2:$B$199, "=Morelos")</f>
        <v>0</v>
      </c>
      <c r="E6" s="10">
        <f>SUMIFS(Concentrado!F$2:F$199,Concentrado!$A$2:$A$199,"="&amp;$A6,Concentrado!$B$2:$B$199, "=Morelos")</f>
        <v>87525</v>
      </c>
    </row>
    <row r="7" spans="1:5" x14ac:dyDescent="0.25">
      <c r="A7" s="7">
        <v>2022</v>
      </c>
      <c r="B7" s="10">
        <f>SUMIFS(Concentrado!C$2:C$199,Concentrado!$A$2:$A$199,"="&amp;$A7,Concentrado!$B$2:$B$199, "=Morelos")</f>
        <v>47743</v>
      </c>
      <c r="C7" s="10">
        <f>SUMIFS(Concentrado!D$2:D$199,Concentrado!$A$2:$A$199,"="&amp;$A7,Concentrado!$B$2:$B$199, "=Morelos")</f>
        <v>72686</v>
      </c>
      <c r="D7" s="10">
        <f>SUMIFS(Concentrado!E$2:E$199,Concentrado!$A$2:$A$199,"="&amp;$A7,Concentrado!$B$2:$B$199, "=Morelos")</f>
        <v>0</v>
      </c>
      <c r="E7" s="10">
        <f>SUMIFS(Concentrado!F$2:F$199,Concentrado!$A$2:$A$199,"="&amp;$A7,Concentrado!$B$2:$B$199, "=Morelos")</f>
        <v>120429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7" sqref="B7"/>
    </sheetView>
  </sheetViews>
  <sheetFormatPr baseColWidth="10" defaultRowHeight="15" x14ac:dyDescent="0.25"/>
  <cols>
    <col min="1" max="1" width="12.140625" customWidth="1"/>
    <col min="2" max="3" width="16.42578125" customWidth="1"/>
    <col min="4" max="4" width="24" customWidth="1"/>
    <col min="5" max="5" width="14" customWidth="1"/>
  </cols>
  <sheetData>
    <row r="1" spans="1:5" s="3" customFormat="1" ht="28.5" x14ac:dyDescent="0.2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5">
      <c r="A2" s="8">
        <v>2017</v>
      </c>
      <c r="B2" s="9">
        <f>SUMIFS(Concentrado!C$2:C$199,Concentrado!$A$2:$A$199,"="&amp;$A2,Concentrado!$B$2:$B$199, "=Nacional")</f>
        <v>2598700</v>
      </c>
      <c r="C2" s="9">
        <f>SUMIFS(Concentrado!D$2:D$199,Concentrado!$A$2:$A$199,"="&amp;$A2,Concentrado!$B$2:$B$199, "=Nacional")</f>
        <v>6100470</v>
      </c>
      <c r="D2" s="9">
        <f>SUMIFS(Concentrado!E$2:E$199,Concentrado!$A$2:$A$199,"="&amp;$A2,Concentrado!$B$2:$B$199, "=Nacional")</f>
        <v>156570</v>
      </c>
      <c r="E2" s="9">
        <f>SUMIFS(Concentrado!F$2:F$199,Concentrado!$A$2:$A$199,"="&amp;$A2,Concentrado!$B$2:$B$199, "=Nacional")</f>
        <v>8855740</v>
      </c>
    </row>
    <row r="3" spans="1:5" x14ac:dyDescent="0.25">
      <c r="A3" s="8">
        <v>2018</v>
      </c>
      <c r="B3" s="9">
        <f>SUMIFS(Concentrado!C$2:C$199,Concentrado!$A$2:$A$199,"="&amp;$A3,Concentrado!$B$2:$B$199, "=Nacional")</f>
        <v>2533974</v>
      </c>
      <c r="C3" s="9">
        <f>SUMIFS(Concentrado!D$2:D$199,Concentrado!$A$2:$A$199,"="&amp;$A3,Concentrado!$B$2:$B$199, "=Nacional")</f>
        <v>5743380</v>
      </c>
      <c r="D3" s="9">
        <f>SUMIFS(Concentrado!E$2:E$199,Concentrado!$A$2:$A$199,"="&amp;$A3,Concentrado!$B$2:$B$199, "=Nacional")</f>
        <v>95811</v>
      </c>
      <c r="E3" s="9">
        <f>SUMIFS(Concentrado!F$2:F$199,Concentrado!$A$2:$A$199,"="&amp;$A3,Concentrado!$B$2:$B$199, "=Nacional")</f>
        <v>8373165</v>
      </c>
    </row>
    <row r="4" spans="1:5" x14ac:dyDescent="0.25">
      <c r="A4" s="8">
        <v>2019</v>
      </c>
      <c r="B4" s="9">
        <f>SUMIFS(Concentrado!C$2:C$199,Concentrado!$A$2:$A$199,"="&amp;$A4,Concentrado!$B$2:$B$199, "=Nacional")</f>
        <v>2614477</v>
      </c>
      <c r="C4" s="9">
        <f>SUMIFS(Concentrado!D$2:D$199,Concentrado!$A$2:$A$199,"="&amp;$A4,Concentrado!$B$2:$B$199, "=Nacional")</f>
        <v>6165171</v>
      </c>
      <c r="D4" s="9">
        <f>SUMIFS(Concentrado!E$2:E$199,Concentrado!$A$2:$A$199,"="&amp;$A4,Concentrado!$B$2:$B$199, "=Nacional")</f>
        <v>64953</v>
      </c>
      <c r="E4" s="9">
        <f>SUMIFS(Concentrado!F$2:F$199,Concentrado!$A$2:$A$199,"="&amp;$A4,Concentrado!$B$2:$B$199, "=Nacional")</f>
        <v>8844601</v>
      </c>
    </row>
    <row r="5" spans="1:5" x14ac:dyDescent="0.25">
      <c r="A5" s="8">
        <v>2020</v>
      </c>
      <c r="B5" s="9">
        <f>SUMIFS(Concentrado!C$2:C$199,Concentrado!$A$2:$A$199,"="&amp;$A5,Concentrado!$B$2:$B$199, "=Nacional")</f>
        <v>1724568</v>
      </c>
      <c r="C5" s="9">
        <f>SUMIFS(Concentrado!D$2:D$199,Concentrado!$A$2:$A$199,"="&amp;$A5,Concentrado!$B$2:$B$199, "=Nacional")</f>
        <v>3533239</v>
      </c>
      <c r="D5" s="9">
        <f>SUMIFS(Concentrado!E$2:E$199,Concentrado!$A$2:$A$199,"="&amp;$A5,Concentrado!$B$2:$B$199, "=Nacional")</f>
        <v>26996</v>
      </c>
      <c r="E5" s="9">
        <f>SUMIFS(Concentrado!F$2:F$199,Concentrado!$A$2:$A$199,"="&amp;$A5,Concentrado!$B$2:$B$199, "=Nacional")</f>
        <v>5284803</v>
      </c>
    </row>
    <row r="6" spans="1:5" x14ac:dyDescent="0.25">
      <c r="A6" s="8">
        <v>2021</v>
      </c>
      <c r="B6" s="9">
        <f>SUMIFS(Concentrado!C$2:C$199,Concentrado!$A$2:$A$199,"="&amp;$A6,Concentrado!$B$2:$B$199, "=Nacional")</f>
        <v>1790114</v>
      </c>
      <c r="C6" s="9">
        <f>SUMIFS(Concentrado!D$2:D$199,Concentrado!$A$2:$A$199,"="&amp;$A6,Concentrado!$B$2:$B$199, "=Nacional")</f>
        <v>3593191</v>
      </c>
      <c r="D6" s="9">
        <f>SUMIFS(Concentrado!E$2:E$199,Concentrado!$A$2:$A$199,"="&amp;$A6,Concentrado!$B$2:$B$199, "=Nacional")</f>
        <v>0</v>
      </c>
      <c r="E6" s="9">
        <f>SUMIFS(Concentrado!F$2:F$199,Concentrado!$A$2:$A$199,"="&amp;$A6,Concentrado!$B$2:$B$199, "=Nacional")</f>
        <v>5383305</v>
      </c>
    </row>
    <row r="7" spans="1:5" x14ac:dyDescent="0.25">
      <c r="A7" s="8">
        <v>2022</v>
      </c>
      <c r="B7" s="9">
        <f>SUMIFS(Concentrado!C$2:C$199,Concentrado!$A$2:$A$199,"="&amp;$A7,Concentrado!$B$2:$B$199, "=Nacional")</f>
        <v>1961524</v>
      </c>
      <c r="C7" s="9">
        <f>SUMIFS(Concentrado!D$2:D$199,Concentrado!$A$2:$A$199,"="&amp;$A7,Concentrado!$B$2:$B$199, "=Nacional")</f>
        <v>4421314</v>
      </c>
      <c r="D7" s="9">
        <f>SUMIFS(Concentrado!E$2:E$199,Concentrado!$A$2:$A$199,"="&amp;$A7,Concentrado!$B$2:$B$199, "=Nacional")</f>
        <v>0</v>
      </c>
      <c r="E7" s="9">
        <f>SUMIFS(Concentrado!F$2:F$199,Concentrado!$A$2:$A$199,"="&amp;$A7,Concentrado!$B$2:$B$199, "=Nacional")</f>
        <v>6382838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J20" sqref="J20:J21"/>
    </sheetView>
  </sheetViews>
  <sheetFormatPr baseColWidth="10" defaultRowHeight="15" x14ac:dyDescent="0.25"/>
  <cols>
    <col min="1" max="1" width="12.140625" customWidth="1"/>
    <col min="2" max="3" width="16.42578125" customWidth="1"/>
    <col min="4" max="4" width="24" customWidth="1"/>
    <col min="5" max="5" width="14" customWidth="1"/>
  </cols>
  <sheetData>
    <row r="1" spans="1:5" s="3" customFormat="1" ht="28.5" x14ac:dyDescent="0.2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5">
      <c r="A2" s="7">
        <v>2017</v>
      </c>
      <c r="B2" s="10">
        <f>SUMIFS(Concentrado!C$2:C$199,Concentrado!$A$2:$A$199,"="&amp;$A2,Concentrado!$B$2:$B$199, "=Nayarit")</f>
        <v>24771</v>
      </c>
      <c r="C2" s="10">
        <f>SUMIFS(Concentrado!D$2:D$199,Concentrado!$A$2:$A$199,"="&amp;$A2,Concentrado!$B$2:$B$199, "=Nayarit")</f>
        <v>41547</v>
      </c>
      <c r="D2" s="10">
        <f>SUMIFS(Concentrado!E$2:E$199,Concentrado!$A$2:$A$199,"="&amp;$A2,Concentrado!$B$2:$B$199, "=Nayarit")</f>
        <v>76</v>
      </c>
      <c r="E2" s="10">
        <f>SUMIFS(Concentrado!F$2:F$199,Concentrado!$A$2:$A$199,"="&amp;$A2,Concentrado!$B$2:$B$199, "=Nayarit")</f>
        <v>66394</v>
      </c>
    </row>
    <row r="3" spans="1:5" x14ac:dyDescent="0.25">
      <c r="A3" s="7">
        <v>2018</v>
      </c>
      <c r="B3" s="10">
        <f>SUMIFS(Concentrado!C$2:C$199,Concentrado!$A$2:$A$199,"="&amp;$A3,Concentrado!$B$2:$B$199, "=Nayarit")</f>
        <v>24629</v>
      </c>
      <c r="C3" s="10">
        <f>SUMIFS(Concentrado!D$2:D$199,Concentrado!$A$2:$A$199,"="&amp;$A3,Concentrado!$B$2:$B$199, "=Nayarit")</f>
        <v>36588</v>
      </c>
      <c r="D3" s="10">
        <f>SUMIFS(Concentrado!E$2:E$199,Concentrado!$A$2:$A$199,"="&amp;$A3,Concentrado!$B$2:$B$199, "=Nayarit")</f>
        <v>1</v>
      </c>
      <c r="E3" s="10">
        <f>SUMIFS(Concentrado!F$2:F$199,Concentrado!$A$2:$A$199,"="&amp;$A3,Concentrado!$B$2:$B$199, "=Nayarit")</f>
        <v>61218</v>
      </c>
    </row>
    <row r="4" spans="1:5" x14ac:dyDescent="0.25">
      <c r="A4" s="7">
        <v>2019</v>
      </c>
      <c r="B4" s="10">
        <f>SUMIFS(Concentrado!C$2:C$199,Concentrado!$A$2:$A$199,"="&amp;$A4,Concentrado!$B$2:$B$199, "=Nayarit")</f>
        <v>27019</v>
      </c>
      <c r="C4" s="10">
        <f>SUMIFS(Concentrado!D$2:D$199,Concentrado!$A$2:$A$199,"="&amp;$A4,Concentrado!$B$2:$B$199, "=Nayarit")</f>
        <v>43794</v>
      </c>
      <c r="D4" s="10">
        <f>SUMIFS(Concentrado!E$2:E$199,Concentrado!$A$2:$A$199,"="&amp;$A4,Concentrado!$B$2:$B$199, "=Nayarit")</f>
        <v>0</v>
      </c>
      <c r="E4" s="10">
        <f>SUMIFS(Concentrado!F$2:F$199,Concentrado!$A$2:$A$199,"="&amp;$A4,Concentrado!$B$2:$B$199, "=Nayarit")</f>
        <v>70813</v>
      </c>
    </row>
    <row r="5" spans="1:5" x14ac:dyDescent="0.25">
      <c r="A5" s="7">
        <v>2020</v>
      </c>
      <c r="B5" s="10">
        <f>SUMIFS(Concentrado!C$2:C$199,Concentrado!$A$2:$A$199,"="&amp;$A5,Concentrado!$B$2:$B$199, "=Nayarit")</f>
        <v>17975</v>
      </c>
      <c r="C5" s="10">
        <f>SUMIFS(Concentrado!D$2:D$199,Concentrado!$A$2:$A$199,"="&amp;$A5,Concentrado!$B$2:$B$199, "=Nayarit")</f>
        <v>26488</v>
      </c>
      <c r="D5" s="10">
        <f>SUMIFS(Concentrado!E$2:E$199,Concentrado!$A$2:$A$199,"="&amp;$A5,Concentrado!$B$2:$B$199, "=Nayarit")</f>
        <v>0</v>
      </c>
      <c r="E5" s="10">
        <f>SUMIFS(Concentrado!F$2:F$199,Concentrado!$A$2:$A$199,"="&amp;$A5,Concentrado!$B$2:$B$199, "=Nayarit")</f>
        <v>44463</v>
      </c>
    </row>
    <row r="6" spans="1:5" x14ac:dyDescent="0.25">
      <c r="A6" s="7">
        <v>2021</v>
      </c>
      <c r="B6" s="10">
        <f>SUMIFS(Concentrado!C$2:C$199,Concentrado!$A$2:$A$199,"="&amp;$A6,Concentrado!$B$2:$B$199, "=Nayarit")</f>
        <v>17583</v>
      </c>
      <c r="C6" s="10">
        <f>SUMIFS(Concentrado!D$2:D$199,Concentrado!$A$2:$A$199,"="&amp;$A6,Concentrado!$B$2:$B$199, "=Nayarit")</f>
        <v>29490</v>
      </c>
      <c r="D6" s="10">
        <f>SUMIFS(Concentrado!E$2:E$199,Concentrado!$A$2:$A$199,"="&amp;$A6,Concentrado!$B$2:$B$199, "=Nayarit")</f>
        <v>0</v>
      </c>
      <c r="E6" s="10">
        <f>SUMIFS(Concentrado!F$2:F$199,Concentrado!$A$2:$A$199,"="&amp;$A6,Concentrado!$B$2:$B$199, "=Nayarit")</f>
        <v>47073</v>
      </c>
    </row>
    <row r="7" spans="1:5" x14ac:dyDescent="0.25">
      <c r="A7" s="7">
        <v>2022</v>
      </c>
      <c r="B7" s="10">
        <f>SUMIFS(Concentrado!C$2:C$199,Concentrado!$A$2:$A$199,"="&amp;$A7,Concentrado!$B$2:$B$199, "=Nayarit")</f>
        <v>21594</v>
      </c>
      <c r="C7" s="10">
        <f>SUMIFS(Concentrado!D$2:D$199,Concentrado!$A$2:$A$199,"="&amp;$A7,Concentrado!$B$2:$B$199, "=Nayarit")</f>
        <v>40102</v>
      </c>
      <c r="D7" s="10">
        <f>SUMIFS(Concentrado!E$2:E$199,Concentrado!$A$2:$A$199,"="&amp;$A7,Concentrado!$B$2:$B$199, "=Nayarit")</f>
        <v>0</v>
      </c>
      <c r="E7" s="10">
        <f>SUMIFS(Concentrado!F$2:F$199,Concentrado!$A$2:$A$199,"="&amp;$A7,Concentrado!$B$2:$B$199, "=Nayarit")</f>
        <v>61696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J20" sqref="J20:J21"/>
    </sheetView>
  </sheetViews>
  <sheetFormatPr baseColWidth="10" defaultRowHeight="15" x14ac:dyDescent="0.25"/>
  <cols>
    <col min="1" max="1" width="12.140625" customWidth="1"/>
    <col min="2" max="3" width="16.42578125" customWidth="1"/>
    <col min="4" max="4" width="24" customWidth="1"/>
    <col min="5" max="5" width="14" customWidth="1"/>
  </cols>
  <sheetData>
    <row r="1" spans="1:5" s="3" customFormat="1" ht="28.5" x14ac:dyDescent="0.2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5">
      <c r="A2" s="7">
        <v>2017</v>
      </c>
      <c r="B2" s="10">
        <f>SUMIFS(Concentrado!C$2:C$199,Concentrado!$A$2:$A$199,"="&amp;$A2,Concentrado!$B$2:$B$199, "=Nuevo León")</f>
        <v>64393</v>
      </c>
      <c r="C2" s="10">
        <f>SUMIFS(Concentrado!D$2:D$199,Concentrado!$A$2:$A$199,"="&amp;$A2,Concentrado!$B$2:$B$199, "=Nuevo León")</f>
        <v>211697</v>
      </c>
      <c r="D2" s="10">
        <f>SUMIFS(Concentrado!E$2:E$199,Concentrado!$A$2:$A$199,"="&amp;$A2,Concentrado!$B$2:$B$199, "=Nuevo León")</f>
        <v>1656</v>
      </c>
      <c r="E2" s="10">
        <f>SUMIFS(Concentrado!F$2:F$199,Concentrado!$A$2:$A$199,"="&amp;$A2,Concentrado!$B$2:$B$199, "=Nuevo León")</f>
        <v>277746</v>
      </c>
    </row>
    <row r="3" spans="1:5" x14ac:dyDescent="0.25">
      <c r="A3" s="7">
        <v>2018</v>
      </c>
      <c r="B3" s="10">
        <f>SUMIFS(Concentrado!C$2:C$199,Concentrado!$A$2:$A$199,"="&amp;$A3,Concentrado!$B$2:$B$199, "=Nuevo León")</f>
        <v>50049</v>
      </c>
      <c r="C3" s="10">
        <f>SUMIFS(Concentrado!D$2:D$199,Concentrado!$A$2:$A$199,"="&amp;$A3,Concentrado!$B$2:$B$199, "=Nuevo León")</f>
        <v>170546</v>
      </c>
      <c r="D3" s="10">
        <f>SUMIFS(Concentrado!E$2:E$199,Concentrado!$A$2:$A$199,"="&amp;$A3,Concentrado!$B$2:$B$199, "=Nuevo León")</f>
        <v>440</v>
      </c>
      <c r="E3" s="10">
        <f>SUMIFS(Concentrado!F$2:F$199,Concentrado!$A$2:$A$199,"="&amp;$A3,Concentrado!$B$2:$B$199, "=Nuevo León")</f>
        <v>221035</v>
      </c>
    </row>
    <row r="4" spans="1:5" x14ac:dyDescent="0.25">
      <c r="A4" s="7">
        <v>2019</v>
      </c>
      <c r="B4" s="10">
        <f>SUMIFS(Concentrado!C$2:C$199,Concentrado!$A$2:$A$199,"="&amp;$A4,Concentrado!$B$2:$B$199, "=Nuevo León")</f>
        <v>54202</v>
      </c>
      <c r="C4" s="10">
        <f>SUMIFS(Concentrado!D$2:D$199,Concentrado!$A$2:$A$199,"="&amp;$A4,Concentrado!$B$2:$B$199, "=Nuevo León")</f>
        <v>175873</v>
      </c>
      <c r="D4" s="10">
        <f>SUMIFS(Concentrado!E$2:E$199,Concentrado!$A$2:$A$199,"="&amp;$A4,Concentrado!$B$2:$B$199, "=Nuevo León")</f>
        <v>101</v>
      </c>
      <c r="E4" s="10">
        <f>SUMIFS(Concentrado!F$2:F$199,Concentrado!$A$2:$A$199,"="&amp;$A4,Concentrado!$B$2:$B$199, "=Nuevo León")</f>
        <v>230176</v>
      </c>
    </row>
    <row r="5" spans="1:5" x14ac:dyDescent="0.25">
      <c r="A5" s="7">
        <v>2020</v>
      </c>
      <c r="B5" s="10">
        <f>SUMIFS(Concentrado!C$2:C$199,Concentrado!$A$2:$A$199,"="&amp;$A5,Concentrado!$B$2:$B$199, "=Nuevo León")</f>
        <v>29968</v>
      </c>
      <c r="C5" s="10">
        <f>SUMIFS(Concentrado!D$2:D$199,Concentrado!$A$2:$A$199,"="&amp;$A5,Concentrado!$B$2:$B$199, "=Nuevo León")</f>
        <v>120788</v>
      </c>
      <c r="D5" s="10">
        <f>SUMIFS(Concentrado!E$2:E$199,Concentrado!$A$2:$A$199,"="&amp;$A5,Concentrado!$B$2:$B$199, "=Nuevo León")</f>
        <v>66</v>
      </c>
      <c r="E5" s="10">
        <f>SUMIFS(Concentrado!F$2:F$199,Concentrado!$A$2:$A$199,"="&amp;$A5,Concentrado!$B$2:$B$199, "=Nuevo León")</f>
        <v>150822</v>
      </c>
    </row>
    <row r="6" spans="1:5" x14ac:dyDescent="0.25">
      <c r="A6" s="7">
        <v>2021</v>
      </c>
      <c r="B6" s="10">
        <f>SUMIFS(Concentrado!C$2:C$199,Concentrado!$A$2:$A$199,"="&amp;$A6,Concentrado!$B$2:$B$199, "=Nuevo León")</f>
        <v>34098</v>
      </c>
      <c r="C6" s="10">
        <f>SUMIFS(Concentrado!D$2:D$199,Concentrado!$A$2:$A$199,"="&amp;$A6,Concentrado!$B$2:$B$199, "=Nuevo León")</f>
        <v>105916</v>
      </c>
      <c r="D6" s="10">
        <f>SUMIFS(Concentrado!E$2:E$199,Concentrado!$A$2:$A$199,"="&amp;$A6,Concentrado!$B$2:$B$199, "=Nuevo León")</f>
        <v>0</v>
      </c>
      <c r="E6" s="10">
        <f>SUMIFS(Concentrado!F$2:F$199,Concentrado!$A$2:$A$199,"="&amp;$A6,Concentrado!$B$2:$B$199, "=Nuevo León")</f>
        <v>140014</v>
      </c>
    </row>
    <row r="7" spans="1:5" x14ac:dyDescent="0.25">
      <c r="A7" s="7">
        <v>2022</v>
      </c>
      <c r="B7" s="10">
        <f>SUMIFS(Concentrado!C$2:C$199,Concentrado!$A$2:$A$199,"="&amp;$A7,Concentrado!$B$2:$B$199, "=Nuevo León")</f>
        <v>35328</v>
      </c>
      <c r="C7" s="10">
        <f>SUMIFS(Concentrado!D$2:D$199,Concentrado!$A$2:$A$199,"="&amp;$A7,Concentrado!$B$2:$B$199, "=Nuevo León")</f>
        <v>119187</v>
      </c>
      <c r="D7" s="10">
        <f>SUMIFS(Concentrado!E$2:E$199,Concentrado!$A$2:$A$199,"="&amp;$A7,Concentrado!$B$2:$B$199, "=Nuevo León")</f>
        <v>0</v>
      </c>
      <c r="E7" s="10">
        <f>SUMIFS(Concentrado!F$2:F$199,Concentrado!$A$2:$A$199,"="&amp;$A7,Concentrado!$B$2:$B$199, "=Nuevo León")</f>
        <v>154515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J20" sqref="J20:J21"/>
    </sheetView>
  </sheetViews>
  <sheetFormatPr baseColWidth="10" defaultRowHeight="15" x14ac:dyDescent="0.25"/>
  <cols>
    <col min="1" max="1" width="12.140625" customWidth="1"/>
    <col min="2" max="3" width="16.42578125" customWidth="1"/>
    <col min="4" max="4" width="24" customWidth="1"/>
    <col min="5" max="5" width="14" customWidth="1"/>
  </cols>
  <sheetData>
    <row r="1" spans="1:5" s="3" customFormat="1" ht="28.5" x14ac:dyDescent="0.2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5">
      <c r="A2" s="7">
        <v>2017</v>
      </c>
      <c r="B2" s="10">
        <f>SUMIFS(Concentrado!C$2:C$199,Concentrado!$A$2:$A$199,"="&amp;$A2,Concentrado!$B$2:$B$199, "=Oaxaca")</f>
        <v>46266</v>
      </c>
      <c r="C2" s="10">
        <f>SUMIFS(Concentrado!D$2:D$199,Concentrado!$A$2:$A$199,"="&amp;$A2,Concentrado!$B$2:$B$199, "=Oaxaca")</f>
        <v>113695</v>
      </c>
      <c r="D2" s="10">
        <f>SUMIFS(Concentrado!E$2:E$199,Concentrado!$A$2:$A$199,"="&amp;$A2,Concentrado!$B$2:$B$199, "=Oaxaca")</f>
        <v>661</v>
      </c>
      <c r="E2" s="10">
        <f>SUMIFS(Concentrado!F$2:F$199,Concentrado!$A$2:$A$199,"="&amp;$A2,Concentrado!$B$2:$B$199, "=Oaxaca")</f>
        <v>160622</v>
      </c>
    </row>
    <row r="3" spans="1:5" x14ac:dyDescent="0.25">
      <c r="A3" s="7">
        <v>2018</v>
      </c>
      <c r="B3" s="10">
        <f>SUMIFS(Concentrado!C$2:C$199,Concentrado!$A$2:$A$199,"="&amp;$A3,Concentrado!$B$2:$B$199, "=Oaxaca")</f>
        <v>48367</v>
      </c>
      <c r="C3" s="10">
        <f>SUMIFS(Concentrado!D$2:D$199,Concentrado!$A$2:$A$199,"="&amp;$A3,Concentrado!$B$2:$B$199, "=Oaxaca")</f>
        <v>126488</v>
      </c>
      <c r="D3" s="10">
        <f>SUMIFS(Concentrado!E$2:E$199,Concentrado!$A$2:$A$199,"="&amp;$A3,Concentrado!$B$2:$B$199, "=Oaxaca")</f>
        <v>77</v>
      </c>
      <c r="E3" s="10">
        <f>SUMIFS(Concentrado!F$2:F$199,Concentrado!$A$2:$A$199,"="&amp;$A3,Concentrado!$B$2:$B$199, "=Oaxaca")</f>
        <v>174932</v>
      </c>
    </row>
    <row r="4" spans="1:5" x14ac:dyDescent="0.25">
      <c r="A4" s="7">
        <v>2019</v>
      </c>
      <c r="B4" s="10">
        <f>SUMIFS(Concentrado!C$2:C$199,Concentrado!$A$2:$A$199,"="&amp;$A4,Concentrado!$B$2:$B$199, "=Oaxaca")</f>
        <v>55155</v>
      </c>
      <c r="C4" s="10">
        <f>SUMIFS(Concentrado!D$2:D$199,Concentrado!$A$2:$A$199,"="&amp;$A4,Concentrado!$B$2:$B$199, "=Oaxaca")</f>
        <v>131336</v>
      </c>
      <c r="D4" s="10">
        <f>SUMIFS(Concentrado!E$2:E$199,Concentrado!$A$2:$A$199,"="&amp;$A4,Concentrado!$B$2:$B$199, "=Oaxaca")</f>
        <v>43</v>
      </c>
      <c r="E4" s="10">
        <f>SUMIFS(Concentrado!F$2:F$199,Concentrado!$A$2:$A$199,"="&amp;$A4,Concentrado!$B$2:$B$199, "=Oaxaca")</f>
        <v>186534</v>
      </c>
    </row>
    <row r="5" spans="1:5" x14ac:dyDescent="0.25">
      <c r="A5" s="7">
        <v>2020</v>
      </c>
      <c r="B5" s="10">
        <f>SUMIFS(Concentrado!C$2:C$199,Concentrado!$A$2:$A$199,"="&amp;$A5,Concentrado!$B$2:$B$199, "=Oaxaca")</f>
        <v>29193</v>
      </c>
      <c r="C5" s="10">
        <f>SUMIFS(Concentrado!D$2:D$199,Concentrado!$A$2:$A$199,"="&amp;$A5,Concentrado!$B$2:$B$199, "=Oaxaca")</f>
        <v>62335</v>
      </c>
      <c r="D5" s="10">
        <f>SUMIFS(Concentrado!E$2:E$199,Concentrado!$A$2:$A$199,"="&amp;$A5,Concentrado!$B$2:$B$199, "=Oaxaca")</f>
        <v>3</v>
      </c>
      <c r="E5" s="10">
        <f>SUMIFS(Concentrado!F$2:F$199,Concentrado!$A$2:$A$199,"="&amp;$A5,Concentrado!$B$2:$B$199, "=Oaxaca")</f>
        <v>91531</v>
      </c>
    </row>
    <row r="6" spans="1:5" x14ac:dyDescent="0.25">
      <c r="A6" s="7">
        <v>2021</v>
      </c>
      <c r="B6" s="10">
        <f>SUMIFS(Concentrado!C$2:C$199,Concentrado!$A$2:$A$199,"="&amp;$A6,Concentrado!$B$2:$B$199, "=Oaxaca")</f>
        <v>23588</v>
      </c>
      <c r="C6" s="10">
        <f>SUMIFS(Concentrado!D$2:D$199,Concentrado!$A$2:$A$199,"="&amp;$A6,Concentrado!$B$2:$B$199, "=Oaxaca")</f>
        <v>59752</v>
      </c>
      <c r="D6" s="10">
        <f>SUMIFS(Concentrado!E$2:E$199,Concentrado!$A$2:$A$199,"="&amp;$A6,Concentrado!$B$2:$B$199, "=Oaxaca")</f>
        <v>0</v>
      </c>
      <c r="E6" s="10">
        <f>SUMIFS(Concentrado!F$2:F$199,Concentrado!$A$2:$A$199,"="&amp;$A6,Concentrado!$B$2:$B$199, "=Oaxaca")</f>
        <v>83340</v>
      </c>
    </row>
    <row r="7" spans="1:5" x14ac:dyDescent="0.25">
      <c r="A7" s="7">
        <v>2022</v>
      </c>
      <c r="B7" s="10">
        <f>SUMIFS(Concentrado!C$2:C$199,Concentrado!$A$2:$A$199,"="&amp;$A7,Concentrado!$B$2:$B$199, "=Oaxaca")</f>
        <v>31632</v>
      </c>
      <c r="C7" s="10">
        <f>SUMIFS(Concentrado!D$2:D$199,Concentrado!$A$2:$A$199,"="&amp;$A7,Concentrado!$B$2:$B$199, "=Oaxaca")</f>
        <v>94084</v>
      </c>
      <c r="D7" s="10">
        <f>SUMIFS(Concentrado!E$2:E$199,Concentrado!$A$2:$A$199,"="&amp;$A7,Concentrado!$B$2:$B$199, "=Oaxaca")</f>
        <v>0</v>
      </c>
      <c r="E7" s="10">
        <f>SUMIFS(Concentrado!F$2:F$199,Concentrado!$A$2:$A$199,"="&amp;$A7,Concentrado!$B$2:$B$199, "=Oaxaca")</f>
        <v>125716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J20" sqref="J20:J21"/>
    </sheetView>
  </sheetViews>
  <sheetFormatPr baseColWidth="10" defaultRowHeight="15" x14ac:dyDescent="0.25"/>
  <cols>
    <col min="1" max="1" width="12.140625" customWidth="1"/>
    <col min="2" max="3" width="16.42578125" customWidth="1"/>
    <col min="4" max="4" width="24" customWidth="1"/>
    <col min="5" max="5" width="14" customWidth="1"/>
  </cols>
  <sheetData>
    <row r="1" spans="1:5" s="3" customFormat="1" ht="28.5" x14ac:dyDescent="0.2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5">
      <c r="A2" s="7">
        <v>2017</v>
      </c>
      <c r="B2" s="10">
        <f>SUMIFS(Concentrado!C$2:C$199,Concentrado!$A$2:$A$199,"="&amp;$A2,Concentrado!$B$2:$B$199, "=Puebla")</f>
        <v>107698</v>
      </c>
      <c r="C2" s="10">
        <f>SUMIFS(Concentrado!D$2:D$199,Concentrado!$A$2:$A$199,"="&amp;$A2,Concentrado!$B$2:$B$199, "=Puebla")</f>
        <v>364797</v>
      </c>
      <c r="D2" s="10">
        <f>SUMIFS(Concentrado!E$2:E$199,Concentrado!$A$2:$A$199,"="&amp;$A2,Concentrado!$B$2:$B$199, "=Puebla")</f>
        <v>11690</v>
      </c>
      <c r="E2" s="10">
        <f>SUMIFS(Concentrado!F$2:F$199,Concentrado!$A$2:$A$199,"="&amp;$A2,Concentrado!$B$2:$B$199, "=Puebla")</f>
        <v>484185</v>
      </c>
    </row>
    <row r="3" spans="1:5" x14ac:dyDescent="0.25">
      <c r="A3" s="7">
        <v>2018</v>
      </c>
      <c r="B3" s="10">
        <f>SUMIFS(Concentrado!C$2:C$199,Concentrado!$A$2:$A$199,"="&amp;$A3,Concentrado!$B$2:$B$199, "=Puebla")</f>
        <v>78837</v>
      </c>
      <c r="C3" s="10">
        <f>SUMIFS(Concentrado!D$2:D$199,Concentrado!$A$2:$A$199,"="&amp;$A3,Concentrado!$B$2:$B$199, "=Puebla")</f>
        <v>371179</v>
      </c>
      <c r="D3" s="10">
        <f>SUMIFS(Concentrado!E$2:E$199,Concentrado!$A$2:$A$199,"="&amp;$A3,Concentrado!$B$2:$B$199, "=Puebla")</f>
        <v>9950</v>
      </c>
      <c r="E3" s="10">
        <f>SUMIFS(Concentrado!F$2:F$199,Concentrado!$A$2:$A$199,"="&amp;$A3,Concentrado!$B$2:$B$199, "=Puebla")</f>
        <v>459966</v>
      </c>
    </row>
    <row r="4" spans="1:5" x14ac:dyDescent="0.25">
      <c r="A4" s="7">
        <v>2019</v>
      </c>
      <c r="B4" s="10">
        <f>SUMIFS(Concentrado!C$2:C$199,Concentrado!$A$2:$A$199,"="&amp;$A4,Concentrado!$B$2:$B$199, "=Puebla")</f>
        <v>89223</v>
      </c>
      <c r="C4" s="10">
        <f>SUMIFS(Concentrado!D$2:D$199,Concentrado!$A$2:$A$199,"="&amp;$A4,Concentrado!$B$2:$B$199, "=Puebla")</f>
        <v>364042</v>
      </c>
      <c r="D4" s="10">
        <f>SUMIFS(Concentrado!E$2:E$199,Concentrado!$A$2:$A$199,"="&amp;$A4,Concentrado!$B$2:$B$199, "=Puebla")</f>
        <v>8096</v>
      </c>
      <c r="E4" s="10">
        <f>SUMIFS(Concentrado!F$2:F$199,Concentrado!$A$2:$A$199,"="&amp;$A4,Concentrado!$B$2:$B$199, "=Puebla")</f>
        <v>461361</v>
      </c>
    </row>
    <row r="5" spans="1:5" x14ac:dyDescent="0.25">
      <c r="A5" s="7">
        <v>2020</v>
      </c>
      <c r="B5" s="10">
        <f>SUMIFS(Concentrado!C$2:C$199,Concentrado!$A$2:$A$199,"="&amp;$A5,Concentrado!$B$2:$B$199, "=Puebla")</f>
        <v>58976</v>
      </c>
      <c r="C5" s="10">
        <f>SUMIFS(Concentrado!D$2:D$199,Concentrado!$A$2:$A$199,"="&amp;$A5,Concentrado!$B$2:$B$199, "=Puebla")</f>
        <v>173088</v>
      </c>
      <c r="D5" s="10">
        <f>SUMIFS(Concentrado!E$2:E$199,Concentrado!$A$2:$A$199,"="&amp;$A5,Concentrado!$B$2:$B$199, "=Puebla")</f>
        <v>3936</v>
      </c>
      <c r="E5" s="10">
        <f>SUMIFS(Concentrado!F$2:F$199,Concentrado!$A$2:$A$199,"="&amp;$A5,Concentrado!$B$2:$B$199, "=Puebla")</f>
        <v>236000</v>
      </c>
    </row>
    <row r="6" spans="1:5" x14ac:dyDescent="0.25">
      <c r="A6" s="7">
        <v>2021</v>
      </c>
      <c r="B6" s="10">
        <f>SUMIFS(Concentrado!C$2:C$199,Concentrado!$A$2:$A$199,"="&amp;$A6,Concentrado!$B$2:$B$199, "=Puebla")</f>
        <v>66593</v>
      </c>
      <c r="C6" s="10">
        <f>SUMIFS(Concentrado!D$2:D$199,Concentrado!$A$2:$A$199,"="&amp;$A6,Concentrado!$B$2:$B$199, "=Puebla")</f>
        <v>161898</v>
      </c>
      <c r="D6" s="10">
        <f>SUMIFS(Concentrado!E$2:E$199,Concentrado!$A$2:$A$199,"="&amp;$A6,Concentrado!$B$2:$B$199, "=Puebla")</f>
        <v>0</v>
      </c>
      <c r="E6" s="10">
        <f>SUMIFS(Concentrado!F$2:F$199,Concentrado!$A$2:$A$199,"="&amp;$A6,Concentrado!$B$2:$B$199, "=Puebla")</f>
        <v>228491</v>
      </c>
    </row>
    <row r="7" spans="1:5" x14ac:dyDescent="0.25">
      <c r="A7" s="7">
        <v>2022</v>
      </c>
      <c r="B7" s="10">
        <f>SUMIFS(Concentrado!C$2:C$199,Concentrado!$A$2:$A$199,"="&amp;$A7,Concentrado!$B$2:$B$199, "=Puebla")</f>
        <v>80350</v>
      </c>
      <c r="C7" s="10">
        <f>SUMIFS(Concentrado!D$2:D$199,Concentrado!$A$2:$A$199,"="&amp;$A7,Concentrado!$B$2:$B$199, "=Puebla")</f>
        <v>255881</v>
      </c>
      <c r="D7" s="10">
        <f>SUMIFS(Concentrado!E$2:E$199,Concentrado!$A$2:$A$199,"="&amp;$A7,Concentrado!$B$2:$B$199, "=Puebla")</f>
        <v>0</v>
      </c>
      <c r="E7" s="10">
        <f>SUMIFS(Concentrado!F$2:F$199,Concentrado!$A$2:$A$199,"="&amp;$A7,Concentrado!$B$2:$B$199, "=Puebla")</f>
        <v>336231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J20" sqref="J20:J21"/>
    </sheetView>
  </sheetViews>
  <sheetFormatPr baseColWidth="10" defaultRowHeight="15" x14ac:dyDescent="0.25"/>
  <cols>
    <col min="1" max="1" width="12.140625" customWidth="1"/>
    <col min="2" max="3" width="16.42578125" customWidth="1"/>
    <col min="4" max="4" width="24" customWidth="1"/>
    <col min="5" max="5" width="14" customWidth="1"/>
  </cols>
  <sheetData>
    <row r="1" spans="1:5" s="3" customFormat="1" ht="28.5" x14ac:dyDescent="0.2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5">
      <c r="A2" s="7">
        <v>2017</v>
      </c>
      <c r="B2" s="10">
        <f>SUMIFS(Concentrado!C$2:C$199,Concentrado!$A$2:$A$199,"="&amp;$A2,Concentrado!$B$2:$B$199, "=Querétaro")</f>
        <v>102732</v>
      </c>
      <c r="C2" s="10">
        <f>SUMIFS(Concentrado!D$2:D$199,Concentrado!$A$2:$A$199,"="&amp;$A2,Concentrado!$B$2:$B$199, "=Querétaro")</f>
        <v>60096</v>
      </c>
      <c r="D2" s="10">
        <f>SUMIFS(Concentrado!E$2:E$199,Concentrado!$A$2:$A$199,"="&amp;$A2,Concentrado!$B$2:$B$199, "=Querétaro")</f>
        <v>27</v>
      </c>
      <c r="E2" s="10">
        <f>SUMIFS(Concentrado!F$2:F$199,Concentrado!$A$2:$A$199,"="&amp;$A2,Concentrado!$B$2:$B$199, "=Querétaro")</f>
        <v>162855</v>
      </c>
    </row>
    <row r="3" spans="1:5" x14ac:dyDescent="0.25">
      <c r="A3" s="7">
        <v>2018</v>
      </c>
      <c r="B3" s="10">
        <f>SUMIFS(Concentrado!C$2:C$199,Concentrado!$A$2:$A$199,"="&amp;$A3,Concentrado!$B$2:$B$199, "=Querétaro")</f>
        <v>88806</v>
      </c>
      <c r="C3" s="10">
        <f>SUMIFS(Concentrado!D$2:D$199,Concentrado!$A$2:$A$199,"="&amp;$A3,Concentrado!$B$2:$B$199, "=Querétaro")</f>
        <v>55510</v>
      </c>
      <c r="D3" s="10">
        <f>SUMIFS(Concentrado!E$2:E$199,Concentrado!$A$2:$A$199,"="&amp;$A3,Concentrado!$B$2:$B$199, "=Querétaro")</f>
        <v>8</v>
      </c>
      <c r="E3" s="10">
        <f>SUMIFS(Concentrado!F$2:F$199,Concentrado!$A$2:$A$199,"="&amp;$A3,Concentrado!$B$2:$B$199, "=Querétaro")</f>
        <v>144324</v>
      </c>
    </row>
    <row r="4" spans="1:5" x14ac:dyDescent="0.25">
      <c r="A4" s="7">
        <v>2019</v>
      </c>
      <c r="B4" s="10">
        <f>SUMIFS(Concentrado!C$2:C$199,Concentrado!$A$2:$A$199,"="&amp;$A4,Concentrado!$B$2:$B$199, "=Querétaro")</f>
        <v>80529</v>
      </c>
      <c r="C4" s="10">
        <f>SUMIFS(Concentrado!D$2:D$199,Concentrado!$A$2:$A$199,"="&amp;$A4,Concentrado!$B$2:$B$199, "=Querétaro")</f>
        <v>61260</v>
      </c>
      <c r="D4" s="10">
        <f>SUMIFS(Concentrado!E$2:E$199,Concentrado!$A$2:$A$199,"="&amp;$A4,Concentrado!$B$2:$B$199, "=Querétaro")</f>
        <v>19</v>
      </c>
      <c r="E4" s="10">
        <f>SUMIFS(Concentrado!F$2:F$199,Concentrado!$A$2:$A$199,"="&amp;$A4,Concentrado!$B$2:$B$199, "=Querétaro")</f>
        <v>141808</v>
      </c>
    </row>
    <row r="5" spans="1:5" x14ac:dyDescent="0.25">
      <c r="A5" s="7">
        <v>2020</v>
      </c>
      <c r="B5" s="10">
        <f>SUMIFS(Concentrado!C$2:C$199,Concentrado!$A$2:$A$199,"="&amp;$A5,Concentrado!$B$2:$B$199, "=Querétaro")</f>
        <v>35989</v>
      </c>
      <c r="C5" s="10">
        <f>SUMIFS(Concentrado!D$2:D$199,Concentrado!$A$2:$A$199,"="&amp;$A5,Concentrado!$B$2:$B$199, "=Querétaro")</f>
        <v>32728</v>
      </c>
      <c r="D5" s="10">
        <f>SUMIFS(Concentrado!E$2:E$199,Concentrado!$A$2:$A$199,"="&amp;$A5,Concentrado!$B$2:$B$199, "=Querétaro")</f>
        <v>4</v>
      </c>
      <c r="E5" s="10">
        <f>SUMIFS(Concentrado!F$2:F$199,Concentrado!$A$2:$A$199,"="&amp;$A5,Concentrado!$B$2:$B$199, "=Querétaro")</f>
        <v>68721</v>
      </c>
    </row>
    <row r="6" spans="1:5" x14ac:dyDescent="0.25">
      <c r="A6" s="7">
        <v>2021</v>
      </c>
      <c r="B6" s="10">
        <f>SUMIFS(Concentrado!C$2:C$199,Concentrado!$A$2:$A$199,"="&amp;$A6,Concentrado!$B$2:$B$199, "=Querétaro")</f>
        <v>34516</v>
      </c>
      <c r="C6" s="10">
        <f>SUMIFS(Concentrado!D$2:D$199,Concentrado!$A$2:$A$199,"="&amp;$A6,Concentrado!$B$2:$B$199, "=Querétaro")</f>
        <v>43375</v>
      </c>
      <c r="D6" s="10">
        <f>SUMIFS(Concentrado!E$2:E$199,Concentrado!$A$2:$A$199,"="&amp;$A6,Concentrado!$B$2:$B$199, "=Querétaro")</f>
        <v>0</v>
      </c>
      <c r="E6" s="10">
        <f>SUMIFS(Concentrado!F$2:F$199,Concentrado!$A$2:$A$199,"="&amp;$A6,Concentrado!$B$2:$B$199, "=Querétaro")</f>
        <v>77891</v>
      </c>
    </row>
    <row r="7" spans="1:5" x14ac:dyDescent="0.25">
      <c r="A7" s="7">
        <v>2022</v>
      </c>
      <c r="B7" s="10">
        <f>SUMIFS(Concentrado!C$2:C$199,Concentrado!$A$2:$A$199,"="&amp;$A7,Concentrado!$B$2:$B$199, "=Querétaro")</f>
        <v>37837</v>
      </c>
      <c r="C7" s="10">
        <f>SUMIFS(Concentrado!D$2:D$199,Concentrado!$A$2:$A$199,"="&amp;$A7,Concentrado!$B$2:$B$199, "=Querétaro")</f>
        <v>77677</v>
      </c>
      <c r="D7" s="10">
        <f>SUMIFS(Concentrado!E$2:E$199,Concentrado!$A$2:$A$199,"="&amp;$A7,Concentrado!$B$2:$B$199, "=Querétaro")</f>
        <v>0</v>
      </c>
      <c r="E7" s="10">
        <f>SUMIFS(Concentrado!F$2:F$199,Concentrado!$A$2:$A$199,"="&amp;$A7,Concentrado!$B$2:$B$199, "=Querétaro")</f>
        <v>115514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J20" sqref="J20:J21"/>
    </sheetView>
  </sheetViews>
  <sheetFormatPr baseColWidth="10" defaultRowHeight="15" x14ac:dyDescent="0.25"/>
  <cols>
    <col min="1" max="1" width="12.140625" customWidth="1"/>
    <col min="2" max="3" width="16.42578125" customWidth="1"/>
    <col min="4" max="4" width="24" customWidth="1"/>
    <col min="5" max="5" width="14" customWidth="1"/>
  </cols>
  <sheetData>
    <row r="1" spans="1:5" s="3" customFormat="1" ht="28.5" x14ac:dyDescent="0.2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5">
      <c r="A2" s="7">
        <v>2017</v>
      </c>
      <c r="B2" s="10">
        <f>SUMIFS(Concentrado!C$2:C$199,Concentrado!$A$2:$A$199,"="&amp;$A2,Concentrado!$B$2:$B$199, "=Quintana Roo")</f>
        <v>9634</v>
      </c>
      <c r="C2" s="10">
        <f>SUMIFS(Concentrado!D$2:D$199,Concentrado!$A$2:$A$199,"="&amp;$A2,Concentrado!$B$2:$B$199, "=Quintana Roo")</f>
        <v>80334</v>
      </c>
      <c r="D2" s="10">
        <f>SUMIFS(Concentrado!E$2:E$199,Concentrado!$A$2:$A$199,"="&amp;$A2,Concentrado!$B$2:$B$199, "=Quintana Roo")</f>
        <v>7632</v>
      </c>
      <c r="E2" s="10">
        <f>SUMIFS(Concentrado!F$2:F$199,Concentrado!$A$2:$A$199,"="&amp;$A2,Concentrado!$B$2:$B$199, "=Quintana Roo")</f>
        <v>97600</v>
      </c>
    </row>
    <row r="3" spans="1:5" x14ac:dyDescent="0.25">
      <c r="A3" s="7">
        <v>2018</v>
      </c>
      <c r="B3" s="10">
        <f>SUMIFS(Concentrado!C$2:C$199,Concentrado!$A$2:$A$199,"="&amp;$A3,Concentrado!$B$2:$B$199, "=Quintana Roo")</f>
        <v>11653</v>
      </c>
      <c r="C3" s="10">
        <f>SUMIFS(Concentrado!D$2:D$199,Concentrado!$A$2:$A$199,"="&amp;$A3,Concentrado!$B$2:$B$199, "=Quintana Roo")</f>
        <v>60127</v>
      </c>
      <c r="D3" s="10">
        <f>SUMIFS(Concentrado!E$2:E$199,Concentrado!$A$2:$A$199,"="&amp;$A3,Concentrado!$B$2:$B$199, "=Quintana Roo")</f>
        <v>6064</v>
      </c>
      <c r="E3" s="10">
        <f>SUMIFS(Concentrado!F$2:F$199,Concentrado!$A$2:$A$199,"="&amp;$A3,Concentrado!$B$2:$B$199, "=Quintana Roo")</f>
        <v>77844</v>
      </c>
    </row>
    <row r="4" spans="1:5" x14ac:dyDescent="0.25">
      <c r="A4" s="7">
        <v>2019</v>
      </c>
      <c r="B4" s="10">
        <f>SUMIFS(Concentrado!C$2:C$199,Concentrado!$A$2:$A$199,"="&amp;$A4,Concentrado!$B$2:$B$199, "=Quintana Roo")</f>
        <v>16402</v>
      </c>
      <c r="C4" s="10">
        <f>SUMIFS(Concentrado!D$2:D$199,Concentrado!$A$2:$A$199,"="&amp;$A4,Concentrado!$B$2:$B$199, "=Quintana Roo")</f>
        <v>112730</v>
      </c>
      <c r="D4" s="10">
        <f>SUMIFS(Concentrado!E$2:E$199,Concentrado!$A$2:$A$199,"="&amp;$A4,Concentrado!$B$2:$B$199, "=Quintana Roo")</f>
        <v>4881</v>
      </c>
      <c r="E4" s="10">
        <f>SUMIFS(Concentrado!F$2:F$199,Concentrado!$A$2:$A$199,"="&amp;$A4,Concentrado!$B$2:$B$199, "=Quintana Roo")</f>
        <v>134013</v>
      </c>
    </row>
    <row r="5" spans="1:5" x14ac:dyDescent="0.25">
      <c r="A5" s="7">
        <v>2020</v>
      </c>
      <c r="B5" s="10">
        <f>SUMIFS(Concentrado!C$2:C$199,Concentrado!$A$2:$A$199,"="&amp;$A5,Concentrado!$B$2:$B$199, "=Quintana Roo")</f>
        <v>10129</v>
      </c>
      <c r="C5" s="10">
        <f>SUMIFS(Concentrado!D$2:D$199,Concentrado!$A$2:$A$199,"="&amp;$A5,Concentrado!$B$2:$B$199, "=Quintana Roo")</f>
        <v>64511</v>
      </c>
      <c r="D5" s="10">
        <f>SUMIFS(Concentrado!E$2:E$199,Concentrado!$A$2:$A$199,"="&amp;$A5,Concentrado!$B$2:$B$199, "=Quintana Roo")</f>
        <v>1980</v>
      </c>
      <c r="E5" s="10">
        <f>SUMIFS(Concentrado!F$2:F$199,Concentrado!$A$2:$A$199,"="&amp;$A5,Concentrado!$B$2:$B$199, "=Quintana Roo")</f>
        <v>76620</v>
      </c>
    </row>
    <row r="6" spans="1:5" x14ac:dyDescent="0.25">
      <c r="A6" s="7">
        <v>2021</v>
      </c>
      <c r="B6" s="10">
        <f>SUMIFS(Concentrado!C$2:C$199,Concentrado!$A$2:$A$199,"="&amp;$A6,Concentrado!$B$2:$B$199, "=Quintana Roo")</f>
        <v>15237</v>
      </c>
      <c r="C6" s="10">
        <f>SUMIFS(Concentrado!D$2:D$199,Concentrado!$A$2:$A$199,"="&amp;$A6,Concentrado!$B$2:$B$199, "=Quintana Roo")</f>
        <v>74252</v>
      </c>
      <c r="D6" s="10">
        <f>SUMIFS(Concentrado!E$2:E$199,Concentrado!$A$2:$A$199,"="&amp;$A6,Concentrado!$B$2:$B$199, "=Quintana Roo")</f>
        <v>0</v>
      </c>
      <c r="E6" s="10">
        <f>SUMIFS(Concentrado!F$2:F$199,Concentrado!$A$2:$A$199,"="&amp;$A6,Concentrado!$B$2:$B$199, "=Quintana Roo")</f>
        <v>89489</v>
      </c>
    </row>
    <row r="7" spans="1:5" x14ac:dyDescent="0.25">
      <c r="A7" s="7">
        <v>2022</v>
      </c>
      <c r="B7" s="10">
        <f>SUMIFS(Concentrado!C$2:C$199,Concentrado!$A$2:$A$199,"="&amp;$A7,Concentrado!$B$2:$B$199, "=Quintana Roo")</f>
        <v>9864</v>
      </c>
      <c r="C7" s="10">
        <f>SUMIFS(Concentrado!D$2:D$199,Concentrado!$A$2:$A$199,"="&amp;$A7,Concentrado!$B$2:$B$199, "=Quintana Roo")</f>
        <v>71609</v>
      </c>
      <c r="D7" s="10">
        <f>SUMIFS(Concentrado!E$2:E$199,Concentrado!$A$2:$A$199,"="&amp;$A7,Concentrado!$B$2:$B$199, "=Quintana Roo")</f>
        <v>0</v>
      </c>
      <c r="E7" s="10">
        <f>SUMIFS(Concentrado!F$2:F$199,Concentrado!$A$2:$A$199,"="&amp;$A7,Concentrado!$B$2:$B$199, "=Quintana Roo")</f>
        <v>81473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J20" sqref="J20:J21"/>
    </sheetView>
  </sheetViews>
  <sheetFormatPr baseColWidth="10" defaultRowHeight="15" x14ac:dyDescent="0.25"/>
  <cols>
    <col min="1" max="1" width="12.140625" customWidth="1"/>
    <col min="2" max="3" width="16.42578125" customWidth="1"/>
    <col min="4" max="4" width="24" customWidth="1"/>
    <col min="5" max="5" width="14" customWidth="1"/>
  </cols>
  <sheetData>
    <row r="1" spans="1:5" s="3" customFormat="1" ht="28.5" x14ac:dyDescent="0.2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5">
      <c r="A2" s="7">
        <v>2017</v>
      </c>
      <c r="B2" s="10">
        <f>SUMIFS(Concentrado!C$2:C$199,Concentrado!$A$2:$A$199,"="&amp;$A2,Concentrado!$B$2:$B$199, "=San Luis Potosí")</f>
        <v>61187</v>
      </c>
      <c r="C2" s="10">
        <f>SUMIFS(Concentrado!D$2:D$199,Concentrado!$A$2:$A$199,"="&amp;$A2,Concentrado!$B$2:$B$199, "=San Luis Potosí")</f>
        <v>141393</v>
      </c>
      <c r="D2" s="10">
        <f>SUMIFS(Concentrado!E$2:E$199,Concentrado!$A$2:$A$199,"="&amp;$A2,Concentrado!$B$2:$B$199, "=San Luis Potosí")</f>
        <v>10100</v>
      </c>
      <c r="E2" s="10">
        <f>SUMIFS(Concentrado!F$2:F$199,Concentrado!$A$2:$A$199,"="&amp;$A2,Concentrado!$B$2:$B$199, "=San Luis Potosí")</f>
        <v>212680</v>
      </c>
    </row>
    <row r="3" spans="1:5" x14ac:dyDescent="0.25">
      <c r="A3" s="7">
        <v>2018</v>
      </c>
      <c r="B3" s="10">
        <f>SUMIFS(Concentrado!C$2:C$199,Concentrado!$A$2:$A$199,"="&amp;$A3,Concentrado!$B$2:$B$199, "=San Luis Potosí")</f>
        <v>52651</v>
      </c>
      <c r="C3" s="10">
        <f>SUMIFS(Concentrado!D$2:D$199,Concentrado!$A$2:$A$199,"="&amp;$A3,Concentrado!$B$2:$B$199, "=San Luis Potosí")</f>
        <v>130996</v>
      </c>
      <c r="D3" s="10">
        <f>SUMIFS(Concentrado!E$2:E$199,Concentrado!$A$2:$A$199,"="&amp;$A3,Concentrado!$B$2:$B$199, "=San Luis Potosí")</f>
        <v>3273</v>
      </c>
      <c r="E3" s="10">
        <f>SUMIFS(Concentrado!F$2:F$199,Concentrado!$A$2:$A$199,"="&amp;$A3,Concentrado!$B$2:$B$199, "=San Luis Potosí")</f>
        <v>186920</v>
      </c>
    </row>
    <row r="4" spans="1:5" x14ac:dyDescent="0.25">
      <c r="A4" s="7">
        <v>2019</v>
      </c>
      <c r="B4" s="10">
        <f>SUMIFS(Concentrado!C$2:C$199,Concentrado!$A$2:$A$199,"="&amp;$A4,Concentrado!$B$2:$B$199, "=San Luis Potosí")</f>
        <v>46989</v>
      </c>
      <c r="C4" s="10">
        <f>SUMIFS(Concentrado!D$2:D$199,Concentrado!$A$2:$A$199,"="&amp;$A4,Concentrado!$B$2:$B$199, "=San Luis Potosí")</f>
        <v>136195</v>
      </c>
      <c r="D4" s="10">
        <f>SUMIFS(Concentrado!E$2:E$199,Concentrado!$A$2:$A$199,"="&amp;$A4,Concentrado!$B$2:$B$199, "=San Luis Potosí")</f>
        <v>979</v>
      </c>
      <c r="E4" s="10">
        <f>SUMIFS(Concentrado!F$2:F$199,Concentrado!$A$2:$A$199,"="&amp;$A4,Concentrado!$B$2:$B$199, "=San Luis Potosí")</f>
        <v>184163</v>
      </c>
    </row>
    <row r="5" spans="1:5" x14ac:dyDescent="0.25">
      <c r="A5" s="7">
        <v>2020</v>
      </c>
      <c r="B5" s="10">
        <f>SUMIFS(Concentrado!C$2:C$199,Concentrado!$A$2:$A$199,"="&amp;$A5,Concentrado!$B$2:$B$199, "=San Luis Potosí")</f>
        <v>34470</v>
      </c>
      <c r="C5" s="10">
        <f>SUMIFS(Concentrado!D$2:D$199,Concentrado!$A$2:$A$199,"="&amp;$A5,Concentrado!$B$2:$B$199, "=San Luis Potosí")</f>
        <v>83831</v>
      </c>
      <c r="D5" s="10">
        <f>SUMIFS(Concentrado!E$2:E$199,Concentrado!$A$2:$A$199,"="&amp;$A5,Concentrado!$B$2:$B$199, "=San Luis Potosí")</f>
        <v>432</v>
      </c>
      <c r="E5" s="10">
        <f>SUMIFS(Concentrado!F$2:F$199,Concentrado!$A$2:$A$199,"="&amp;$A5,Concentrado!$B$2:$B$199, "=San Luis Potosí")</f>
        <v>118733</v>
      </c>
    </row>
    <row r="6" spans="1:5" x14ac:dyDescent="0.25">
      <c r="A6" s="7">
        <v>2021</v>
      </c>
      <c r="B6" s="10">
        <f>SUMIFS(Concentrado!C$2:C$199,Concentrado!$A$2:$A$199,"="&amp;$A6,Concentrado!$B$2:$B$199, "=San Luis Potosí")</f>
        <v>33807</v>
      </c>
      <c r="C6" s="10">
        <f>SUMIFS(Concentrado!D$2:D$199,Concentrado!$A$2:$A$199,"="&amp;$A6,Concentrado!$B$2:$B$199, "=San Luis Potosí")</f>
        <v>75708</v>
      </c>
      <c r="D6" s="10">
        <f>SUMIFS(Concentrado!E$2:E$199,Concentrado!$A$2:$A$199,"="&amp;$A6,Concentrado!$B$2:$B$199, "=San Luis Potosí")</f>
        <v>0</v>
      </c>
      <c r="E6" s="10">
        <f>SUMIFS(Concentrado!F$2:F$199,Concentrado!$A$2:$A$199,"="&amp;$A6,Concentrado!$B$2:$B$199, "=San Luis Potosí")</f>
        <v>109515</v>
      </c>
    </row>
    <row r="7" spans="1:5" x14ac:dyDescent="0.25">
      <c r="A7" s="7">
        <v>2022</v>
      </c>
      <c r="B7" s="10">
        <f>SUMIFS(Concentrado!C$2:C$199,Concentrado!$A$2:$A$199,"="&amp;$A7,Concentrado!$B$2:$B$199, "=San Luis Potosí")</f>
        <v>34792</v>
      </c>
      <c r="C7" s="10">
        <f>SUMIFS(Concentrado!D$2:D$199,Concentrado!$A$2:$A$199,"="&amp;$A7,Concentrado!$B$2:$B$199, "=San Luis Potosí")</f>
        <v>83460</v>
      </c>
      <c r="D7" s="10">
        <f>SUMIFS(Concentrado!E$2:E$199,Concentrado!$A$2:$A$199,"="&amp;$A7,Concentrado!$B$2:$B$199, "=San Luis Potosí")</f>
        <v>0</v>
      </c>
      <c r="E7" s="10">
        <f>SUMIFS(Concentrado!F$2:F$199,Concentrado!$A$2:$A$199,"="&amp;$A7,Concentrado!$B$2:$B$199, "=San Luis Potosí")</f>
        <v>118252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J20" sqref="J20:J21"/>
    </sheetView>
  </sheetViews>
  <sheetFormatPr baseColWidth="10" defaultRowHeight="15" x14ac:dyDescent="0.25"/>
  <cols>
    <col min="1" max="1" width="12.140625" customWidth="1"/>
    <col min="2" max="3" width="16.42578125" customWidth="1"/>
    <col min="4" max="4" width="24" customWidth="1"/>
    <col min="5" max="5" width="14" customWidth="1"/>
  </cols>
  <sheetData>
    <row r="1" spans="1:5" s="3" customFormat="1" ht="28.5" x14ac:dyDescent="0.2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5">
      <c r="A2" s="7">
        <v>2017</v>
      </c>
      <c r="B2" s="10">
        <f>SUMIFS(Concentrado!C$2:C$199,Concentrado!$A$2:$A$199,"="&amp;$A2,Concentrado!$B$2:$B$199, "=Sinaloa")</f>
        <v>106229</v>
      </c>
      <c r="C2" s="10">
        <f>SUMIFS(Concentrado!D$2:D$199,Concentrado!$A$2:$A$199,"="&amp;$A2,Concentrado!$B$2:$B$199, "=Sinaloa")</f>
        <v>118536</v>
      </c>
      <c r="D2" s="10">
        <f>SUMIFS(Concentrado!E$2:E$199,Concentrado!$A$2:$A$199,"="&amp;$A2,Concentrado!$B$2:$B$199, "=Sinaloa")</f>
        <v>195</v>
      </c>
      <c r="E2" s="10">
        <f>SUMIFS(Concentrado!F$2:F$199,Concentrado!$A$2:$A$199,"="&amp;$A2,Concentrado!$B$2:$B$199, "=Sinaloa")</f>
        <v>224960</v>
      </c>
    </row>
    <row r="3" spans="1:5" x14ac:dyDescent="0.25">
      <c r="A3" s="7">
        <v>2018</v>
      </c>
      <c r="B3" s="10">
        <f>SUMIFS(Concentrado!C$2:C$199,Concentrado!$A$2:$A$199,"="&amp;$A3,Concentrado!$B$2:$B$199, "=Sinaloa")</f>
        <v>85817</v>
      </c>
      <c r="C3" s="10">
        <f>SUMIFS(Concentrado!D$2:D$199,Concentrado!$A$2:$A$199,"="&amp;$A3,Concentrado!$B$2:$B$199, "=Sinaloa")</f>
        <v>160148</v>
      </c>
      <c r="D3" s="10">
        <f>SUMIFS(Concentrado!E$2:E$199,Concentrado!$A$2:$A$199,"="&amp;$A3,Concentrado!$B$2:$B$199, "=Sinaloa")</f>
        <v>55</v>
      </c>
      <c r="E3" s="10">
        <f>SUMIFS(Concentrado!F$2:F$199,Concentrado!$A$2:$A$199,"="&amp;$A3,Concentrado!$B$2:$B$199, "=Sinaloa")</f>
        <v>246020</v>
      </c>
    </row>
    <row r="4" spans="1:5" x14ac:dyDescent="0.25">
      <c r="A4" s="7">
        <v>2019</v>
      </c>
      <c r="B4" s="10">
        <f>SUMIFS(Concentrado!C$2:C$199,Concentrado!$A$2:$A$199,"="&amp;$A4,Concentrado!$B$2:$B$199, "=Sinaloa")</f>
        <v>78942</v>
      </c>
      <c r="C4" s="10">
        <f>SUMIFS(Concentrado!D$2:D$199,Concentrado!$A$2:$A$199,"="&amp;$A4,Concentrado!$B$2:$B$199, "=Sinaloa")</f>
        <v>162619</v>
      </c>
      <c r="D4" s="10">
        <f>SUMIFS(Concentrado!E$2:E$199,Concentrado!$A$2:$A$199,"="&amp;$A4,Concentrado!$B$2:$B$199, "=Sinaloa")</f>
        <v>32</v>
      </c>
      <c r="E4" s="10">
        <f>SUMIFS(Concentrado!F$2:F$199,Concentrado!$A$2:$A$199,"="&amp;$A4,Concentrado!$B$2:$B$199, "=Sinaloa")</f>
        <v>241593</v>
      </c>
    </row>
    <row r="5" spans="1:5" x14ac:dyDescent="0.25">
      <c r="A5" s="7">
        <v>2020</v>
      </c>
      <c r="B5" s="10">
        <f>SUMIFS(Concentrado!C$2:C$199,Concentrado!$A$2:$A$199,"="&amp;$A5,Concentrado!$B$2:$B$199, "=Sinaloa")</f>
        <v>54090</v>
      </c>
      <c r="C5" s="10">
        <f>SUMIFS(Concentrado!D$2:D$199,Concentrado!$A$2:$A$199,"="&amp;$A5,Concentrado!$B$2:$B$199, "=Sinaloa")</f>
        <v>92337</v>
      </c>
      <c r="D5" s="10">
        <f>SUMIFS(Concentrado!E$2:E$199,Concentrado!$A$2:$A$199,"="&amp;$A5,Concentrado!$B$2:$B$199, "=Sinaloa")</f>
        <v>115</v>
      </c>
      <c r="E5" s="10">
        <f>SUMIFS(Concentrado!F$2:F$199,Concentrado!$A$2:$A$199,"="&amp;$A5,Concentrado!$B$2:$B$199, "=Sinaloa")</f>
        <v>146542</v>
      </c>
    </row>
    <row r="6" spans="1:5" x14ac:dyDescent="0.25">
      <c r="A6" s="7">
        <v>2021</v>
      </c>
      <c r="B6" s="10">
        <f>SUMIFS(Concentrado!C$2:C$199,Concentrado!$A$2:$A$199,"="&amp;$A6,Concentrado!$B$2:$B$199, "=Sinaloa")</f>
        <v>72723</v>
      </c>
      <c r="C6" s="10">
        <f>SUMIFS(Concentrado!D$2:D$199,Concentrado!$A$2:$A$199,"="&amp;$A6,Concentrado!$B$2:$B$199, "=Sinaloa")</f>
        <v>69396</v>
      </c>
      <c r="D6" s="10">
        <f>SUMIFS(Concentrado!E$2:E$199,Concentrado!$A$2:$A$199,"="&amp;$A6,Concentrado!$B$2:$B$199, "=Sinaloa")</f>
        <v>0</v>
      </c>
      <c r="E6" s="10">
        <f>SUMIFS(Concentrado!F$2:F$199,Concentrado!$A$2:$A$199,"="&amp;$A6,Concentrado!$B$2:$B$199, "=Sinaloa")</f>
        <v>142119</v>
      </c>
    </row>
    <row r="7" spans="1:5" x14ac:dyDescent="0.25">
      <c r="A7" s="7">
        <v>2022</v>
      </c>
      <c r="B7" s="10">
        <f>SUMIFS(Concentrado!C$2:C$199,Concentrado!$A$2:$A$199,"="&amp;$A7,Concentrado!$B$2:$B$199, "=Sinaloa")</f>
        <v>75452</v>
      </c>
      <c r="C7" s="10">
        <f>SUMIFS(Concentrado!D$2:D$199,Concentrado!$A$2:$A$199,"="&amp;$A7,Concentrado!$B$2:$B$199, "=Sinaloa")</f>
        <v>70358</v>
      </c>
      <c r="D7" s="10">
        <f>SUMIFS(Concentrado!E$2:E$199,Concentrado!$A$2:$A$199,"="&amp;$A7,Concentrado!$B$2:$B$199, "=Sinaloa")</f>
        <v>0</v>
      </c>
      <c r="E7" s="10">
        <f>SUMIFS(Concentrado!F$2:F$199,Concentrado!$A$2:$A$199,"="&amp;$A7,Concentrado!$B$2:$B$199, "=Sinaloa")</f>
        <v>145810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J20" sqref="J20:J21"/>
    </sheetView>
  </sheetViews>
  <sheetFormatPr baseColWidth="10" defaultRowHeight="15" x14ac:dyDescent="0.25"/>
  <cols>
    <col min="1" max="1" width="12.140625" customWidth="1"/>
    <col min="2" max="3" width="16.42578125" customWidth="1"/>
    <col min="4" max="4" width="24" customWidth="1"/>
    <col min="5" max="5" width="14" customWidth="1"/>
  </cols>
  <sheetData>
    <row r="1" spans="1:5" s="3" customFormat="1" ht="28.5" x14ac:dyDescent="0.2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5">
      <c r="A2" s="7">
        <v>2017</v>
      </c>
      <c r="B2" s="10">
        <f>SUMIFS(Concentrado!C$2:C$199,Concentrado!$A$2:$A$199,"="&amp;$A2,Concentrado!$B$2:$B$199, "=Sonora")</f>
        <v>61567</v>
      </c>
      <c r="C2" s="10">
        <f>SUMIFS(Concentrado!D$2:D$199,Concentrado!$A$2:$A$199,"="&amp;$A2,Concentrado!$B$2:$B$199, "=Sonora")</f>
        <v>251750</v>
      </c>
      <c r="D2" s="10">
        <f>SUMIFS(Concentrado!E$2:E$199,Concentrado!$A$2:$A$199,"="&amp;$A2,Concentrado!$B$2:$B$199, "=Sonora")</f>
        <v>1023</v>
      </c>
      <c r="E2" s="10">
        <f>SUMIFS(Concentrado!F$2:F$199,Concentrado!$A$2:$A$199,"="&amp;$A2,Concentrado!$B$2:$B$199, "=Sonora")</f>
        <v>314340</v>
      </c>
    </row>
    <row r="3" spans="1:5" x14ac:dyDescent="0.25">
      <c r="A3" s="7">
        <v>2018</v>
      </c>
      <c r="B3" s="10">
        <f>SUMIFS(Concentrado!C$2:C$199,Concentrado!$A$2:$A$199,"="&amp;$A3,Concentrado!$B$2:$B$199, "=Sonora")</f>
        <v>51213</v>
      </c>
      <c r="C3" s="10">
        <f>SUMIFS(Concentrado!D$2:D$199,Concentrado!$A$2:$A$199,"="&amp;$A3,Concentrado!$B$2:$B$199, "=Sonora")</f>
        <v>204216</v>
      </c>
      <c r="D3" s="10">
        <f>SUMIFS(Concentrado!E$2:E$199,Concentrado!$A$2:$A$199,"="&amp;$A3,Concentrado!$B$2:$B$199, "=Sonora")</f>
        <v>292</v>
      </c>
      <c r="E3" s="10">
        <f>SUMIFS(Concentrado!F$2:F$199,Concentrado!$A$2:$A$199,"="&amp;$A3,Concentrado!$B$2:$B$199, "=Sonora")</f>
        <v>255721</v>
      </c>
    </row>
    <row r="4" spans="1:5" x14ac:dyDescent="0.25">
      <c r="A4" s="7">
        <v>2019</v>
      </c>
      <c r="B4" s="10">
        <f>SUMIFS(Concentrado!C$2:C$199,Concentrado!$A$2:$A$199,"="&amp;$A4,Concentrado!$B$2:$B$199, "=Sonora")</f>
        <v>56499</v>
      </c>
      <c r="C4" s="10">
        <f>SUMIFS(Concentrado!D$2:D$199,Concentrado!$A$2:$A$199,"="&amp;$A4,Concentrado!$B$2:$B$199, "=Sonora")</f>
        <v>190088</v>
      </c>
      <c r="D4" s="10">
        <f>SUMIFS(Concentrado!E$2:E$199,Concentrado!$A$2:$A$199,"="&amp;$A4,Concentrado!$B$2:$B$199, "=Sonora")</f>
        <v>531</v>
      </c>
      <c r="E4" s="10">
        <f>SUMIFS(Concentrado!F$2:F$199,Concentrado!$A$2:$A$199,"="&amp;$A4,Concentrado!$B$2:$B$199, "=Sonora")</f>
        <v>247118</v>
      </c>
    </row>
    <row r="5" spans="1:5" x14ac:dyDescent="0.25">
      <c r="A5" s="7">
        <v>2020</v>
      </c>
      <c r="B5" s="10">
        <f>SUMIFS(Concentrado!C$2:C$199,Concentrado!$A$2:$A$199,"="&amp;$A5,Concentrado!$B$2:$B$199, "=Sonora")</f>
        <v>42896</v>
      </c>
      <c r="C5" s="10">
        <f>SUMIFS(Concentrado!D$2:D$199,Concentrado!$A$2:$A$199,"="&amp;$A5,Concentrado!$B$2:$B$199, "=Sonora")</f>
        <v>115589</v>
      </c>
      <c r="D5" s="10">
        <f>SUMIFS(Concentrado!E$2:E$199,Concentrado!$A$2:$A$199,"="&amp;$A5,Concentrado!$B$2:$B$199, "=Sonora")</f>
        <v>0</v>
      </c>
      <c r="E5" s="10">
        <f>SUMIFS(Concentrado!F$2:F$199,Concentrado!$A$2:$A$199,"="&amp;$A5,Concentrado!$B$2:$B$199, "=Sonora")</f>
        <v>158485</v>
      </c>
    </row>
    <row r="6" spans="1:5" x14ac:dyDescent="0.25">
      <c r="A6" s="7">
        <v>2021</v>
      </c>
      <c r="B6" s="10">
        <f>SUMIFS(Concentrado!C$2:C$199,Concentrado!$A$2:$A$199,"="&amp;$A6,Concentrado!$B$2:$B$199, "=Sonora")</f>
        <v>48106</v>
      </c>
      <c r="C6" s="10">
        <f>SUMIFS(Concentrado!D$2:D$199,Concentrado!$A$2:$A$199,"="&amp;$A6,Concentrado!$B$2:$B$199, "=Sonora")</f>
        <v>108489</v>
      </c>
      <c r="D6" s="10">
        <f>SUMIFS(Concentrado!E$2:E$199,Concentrado!$A$2:$A$199,"="&amp;$A6,Concentrado!$B$2:$B$199, "=Sonora")</f>
        <v>0</v>
      </c>
      <c r="E6" s="10">
        <f>SUMIFS(Concentrado!F$2:F$199,Concentrado!$A$2:$A$199,"="&amp;$A6,Concentrado!$B$2:$B$199, "=Sonora")</f>
        <v>156595</v>
      </c>
    </row>
    <row r="7" spans="1:5" x14ac:dyDescent="0.25">
      <c r="A7" s="7">
        <v>2022</v>
      </c>
      <c r="B7" s="10">
        <f>SUMIFS(Concentrado!C$2:C$199,Concentrado!$A$2:$A$199,"="&amp;$A7,Concentrado!$B$2:$B$199, "=Sonora")</f>
        <v>45857</v>
      </c>
      <c r="C7" s="10">
        <f>SUMIFS(Concentrado!D$2:D$199,Concentrado!$A$2:$A$199,"="&amp;$A7,Concentrado!$B$2:$B$199, "=Sonora")</f>
        <v>110380</v>
      </c>
      <c r="D7" s="10">
        <f>SUMIFS(Concentrado!E$2:E$199,Concentrado!$A$2:$A$199,"="&amp;$A7,Concentrado!$B$2:$B$199, "=Sonora")</f>
        <v>0</v>
      </c>
      <c r="E7" s="10">
        <f>SUMIFS(Concentrado!F$2:F$199,Concentrado!$A$2:$A$199,"="&amp;$A7,Concentrado!$B$2:$B$199, "=Sonora")</f>
        <v>156237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J20" sqref="J20:J21"/>
    </sheetView>
  </sheetViews>
  <sheetFormatPr baseColWidth="10" defaultRowHeight="15" x14ac:dyDescent="0.25"/>
  <cols>
    <col min="1" max="1" width="12.140625" customWidth="1"/>
    <col min="2" max="3" width="16.42578125" customWidth="1"/>
    <col min="4" max="4" width="24" customWidth="1"/>
    <col min="5" max="5" width="14" customWidth="1"/>
  </cols>
  <sheetData>
    <row r="1" spans="1:5" s="3" customFormat="1" ht="28.5" x14ac:dyDescent="0.2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5">
      <c r="A2" s="7">
        <v>2017</v>
      </c>
      <c r="B2" s="10">
        <f>SUMIFS(Concentrado!C$2:C$199,Concentrado!$A$2:$A$199,"="&amp;$A2,Concentrado!$B$2:$B$199, "=Tabasco")</f>
        <v>46035</v>
      </c>
      <c r="C2" s="10">
        <f>SUMIFS(Concentrado!D$2:D$199,Concentrado!$A$2:$A$199,"="&amp;$A2,Concentrado!$B$2:$B$199, "=Tabasco")</f>
        <v>145973</v>
      </c>
      <c r="D2" s="10">
        <f>SUMIFS(Concentrado!E$2:E$199,Concentrado!$A$2:$A$199,"="&amp;$A2,Concentrado!$B$2:$B$199, "=Tabasco")</f>
        <v>3</v>
      </c>
      <c r="E2" s="10">
        <f>SUMIFS(Concentrado!F$2:F$199,Concentrado!$A$2:$A$199,"="&amp;$A2,Concentrado!$B$2:$B$199, "=Tabasco")</f>
        <v>192011</v>
      </c>
    </row>
    <row r="3" spans="1:5" x14ac:dyDescent="0.25">
      <c r="A3" s="7">
        <v>2018</v>
      </c>
      <c r="B3" s="10">
        <f>SUMIFS(Concentrado!C$2:C$199,Concentrado!$A$2:$A$199,"="&amp;$A3,Concentrado!$B$2:$B$199, "=Tabasco")</f>
        <v>51228</v>
      </c>
      <c r="C3" s="10">
        <f>SUMIFS(Concentrado!D$2:D$199,Concentrado!$A$2:$A$199,"="&amp;$A3,Concentrado!$B$2:$B$199, "=Tabasco")</f>
        <v>133155</v>
      </c>
      <c r="D3" s="10">
        <f>SUMIFS(Concentrado!E$2:E$199,Concentrado!$A$2:$A$199,"="&amp;$A3,Concentrado!$B$2:$B$199, "=Tabasco")</f>
        <v>4</v>
      </c>
      <c r="E3" s="10">
        <f>SUMIFS(Concentrado!F$2:F$199,Concentrado!$A$2:$A$199,"="&amp;$A3,Concentrado!$B$2:$B$199, "=Tabasco")</f>
        <v>184387</v>
      </c>
    </row>
    <row r="4" spans="1:5" x14ac:dyDescent="0.25">
      <c r="A4" s="7">
        <v>2019</v>
      </c>
      <c r="B4" s="10">
        <f>SUMIFS(Concentrado!C$2:C$199,Concentrado!$A$2:$A$199,"="&amp;$A4,Concentrado!$B$2:$B$199, "=Tabasco")</f>
        <v>79117</v>
      </c>
      <c r="C4" s="10">
        <f>SUMIFS(Concentrado!D$2:D$199,Concentrado!$A$2:$A$199,"="&amp;$A4,Concentrado!$B$2:$B$199, "=Tabasco")</f>
        <v>207303</v>
      </c>
      <c r="D4" s="10">
        <f>SUMIFS(Concentrado!E$2:E$199,Concentrado!$A$2:$A$199,"="&amp;$A4,Concentrado!$B$2:$B$199, "=Tabasco")</f>
        <v>0</v>
      </c>
      <c r="E4" s="10">
        <f>SUMIFS(Concentrado!F$2:F$199,Concentrado!$A$2:$A$199,"="&amp;$A4,Concentrado!$B$2:$B$199, "=Tabasco")</f>
        <v>286420</v>
      </c>
    </row>
    <row r="5" spans="1:5" x14ac:dyDescent="0.25">
      <c r="A5" s="7">
        <v>2020</v>
      </c>
      <c r="B5" s="10">
        <f>SUMIFS(Concentrado!C$2:C$199,Concentrado!$A$2:$A$199,"="&amp;$A5,Concentrado!$B$2:$B$199, "=Tabasco")</f>
        <v>57020</v>
      </c>
      <c r="C5" s="10">
        <f>SUMIFS(Concentrado!D$2:D$199,Concentrado!$A$2:$A$199,"="&amp;$A5,Concentrado!$B$2:$B$199, "=Tabasco")</f>
        <v>128911</v>
      </c>
      <c r="D5" s="10">
        <f>SUMIFS(Concentrado!E$2:E$199,Concentrado!$A$2:$A$199,"="&amp;$A5,Concentrado!$B$2:$B$199, "=Tabasco")</f>
        <v>0</v>
      </c>
      <c r="E5" s="10">
        <f>SUMIFS(Concentrado!F$2:F$199,Concentrado!$A$2:$A$199,"="&amp;$A5,Concentrado!$B$2:$B$199, "=Tabasco")</f>
        <v>185931</v>
      </c>
    </row>
    <row r="6" spans="1:5" x14ac:dyDescent="0.25">
      <c r="A6" s="7">
        <v>2021</v>
      </c>
      <c r="B6" s="10">
        <f>SUMIFS(Concentrado!C$2:C$199,Concentrado!$A$2:$A$199,"="&amp;$A6,Concentrado!$B$2:$B$199, "=Tabasco")</f>
        <v>77994</v>
      </c>
      <c r="C6" s="10">
        <f>SUMIFS(Concentrado!D$2:D$199,Concentrado!$A$2:$A$199,"="&amp;$A6,Concentrado!$B$2:$B$199, "=Tabasco")</f>
        <v>180079</v>
      </c>
      <c r="D6" s="10">
        <f>SUMIFS(Concentrado!E$2:E$199,Concentrado!$A$2:$A$199,"="&amp;$A6,Concentrado!$B$2:$B$199, "=Tabasco")</f>
        <v>0</v>
      </c>
      <c r="E6" s="10">
        <f>SUMIFS(Concentrado!F$2:F$199,Concentrado!$A$2:$A$199,"="&amp;$A6,Concentrado!$B$2:$B$199, "=Tabasco")</f>
        <v>258073</v>
      </c>
    </row>
    <row r="7" spans="1:5" x14ac:dyDescent="0.25">
      <c r="A7" s="7">
        <v>2022</v>
      </c>
      <c r="B7" s="10">
        <f>SUMIFS(Concentrado!C$2:C$199,Concentrado!$A$2:$A$199,"="&amp;$A7,Concentrado!$B$2:$B$199, "=Tabasco")</f>
        <v>71220</v>
      </c>
      <c r="C7" s="10">
        <f>SUMIFS(Concentrado!D$2:D$199,Concentrado!$A$2:$A$199,"="&amp;$A7,Concentrado!$B$2:$B$199, "=Tabasco")</f>
        <v>216215</v>
      </c>
      <c r="D7" s="10">
        <f>SUMIFS(Concentrado!E$2:E$199,Concentrado!$A$2:$A$199,"="&amp;$A7,Concentrado!$B$2:$B$199, "=Tabasco")</f>
        <v>0</v>
      </c>
      <c r="E7" s="10">
        <f>SUMIFS(Concentrado!F$2:F$199,Concentrado!$A$2:$A$199,"="&amp;$A7,Concentrado!$B$2:$B$199, "=Tabasco")</f>
        <v>287435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J20" sqref="J20:J21"/>
    </sheetView>
  </sheetViews>
  <sheetFormatPr baseColWidth="10" defaultRowHeight="15" x14ac:dyDescent="0.25"/>
  <cols>
    <col min="1" max="1" width="12.140625" customWidth="1"/>
    <col min="2" max="3" width="16.42578125" customWidth="1"/>
    <col min="4" max="4" width="24" customWidth="1"/>
    <col min="5" max="5" width="14" customWidth="1"/>
  </cols>
  <sheetData>
    <row r="1" spans="1:5" s="3" customFormat="1" ht="28.5" x14ac:dyDescent="0.2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5">
      <c r="A2" s="7">
        <v>2017</v>
      </c>
      <c r="B2" s="10">
        <f>SUMIFS(Concentrado!C$2:C$199,Concentrado!$A$2:$A$199,"="&amp;$A2,Concentrado!$B$2:$B$199, "=Aguascalientes")</f>
        <v>86108</v>
      </c>
      <c r="C2" s="10">
        <f>SUMIFS(Concentrado!D$2:D$199,Concentrado!$A$2:$A$199,"="&amp;$A2,Concentrado!$B$2:$B$199, "=Aguascalientes")</f>
        <v>71438</v>
      </c>
      <c r="D2" s="10">
        <f>SUMIFS(Concentrado!E$2:E$199,Concentrado!$A$2:$A$199,"="&amp;$A2,Concentrado!$B$2:$B$199, "=Aguascalientes")</f>
        <v>137</v>
      </c>
      <c r="E2" s="10">
        <f>SUMIFS(Concentrado!F$2:F$199,Concentrado!$A$2:$A$199,"="&amp;$A2,Concentrado!$B$2:$B$199, "=Aguascalientes")</f>
        <v>157683</v>
      </c>
    </row>
    <row r="3" spans="1:5" x14ac:dyDescent="0.25">
      <c r="A3" s="7">
        <v>2018</v>
      </c>
      <c r="B3" s="10">
        <f>SUMIFS(Concentrado!C$2:C$199,Concentrado!$A$2:$A$199,"="&amp;$A3,Concentrado!$B$2:$B$199, "=Aguascalientes")</f>
        <v>85577</v>
      </c>
      <c r="C3" s="10">
        <f>SUMIFS(Concentrado!D$2:D$199,Concentrado!$A$2:$A$199,"="&amp;$A3,Concentrado!$B$2:$B$199, "=Aguascalientes")</f>
        <v>66463</v>
      </c>
      <c r="D3" s="10">
        <f>SUMIFS(Concentrado!E$2:E$199,Concentrado!$A$2:$A$199,"="&amp;$A3,Concentrado!$B$2:$B$199, "=Aguascalientes")</f>
        <v>447</v>
      </c>
      <c r="E3" s="10">
        <f>SUMIFS(Concentrado!F$2:F$199,Concentrado!$A$2:$A$199,"="&amp;$A3,Concentrado!$B$2:$B$199, "=Aguascalientes")</f>
        <v>152487</v>
      </c>
    </row>
    <row r="4" spans="1:5" x14ac:dyDescent="0.25">
      <c r="A4" s="7">
        <v>2019</v>
      </c>
      <c r="B4" s="10">
        <f>SUMIFS(Concentrado!C$2:C$199,Concentrado!$A$2:$A$199,"="&amp;$A4,Concentrado!$B$2:$B$199, "=Aguascalientes")</f>
        <v>66758</v>
      </c>
      <c r="C4" s="10">
        <f>SUMIFS(Concentrado!D$2:D$199,Concentrado!$A$2:$A$199,"="&amp;$A4,Concentrado!$B$2:$B$199, "=Aguascalientes")</f>
        <v>58620</v>
      </c>
      <c r="D4" s="10">
        <f>SUMIFS(Concentrado!E$2:E$199,Concentrado!$A$2:$A$199,"="&amp;$A4,Concentrado!$B$2:$B$199, "=Aguascalientes")</f>
        <v>382</v>
      </c>
      <c r="E4" s="10">
        <f>SUMIFS(Concentrado!F$2:F$199,Concentrado!$A$2:$A$199,"="&amp;$A4,Concentrado!$B$2:$B$199, "=Aguascalientes")</f>
        <v>125760</v>
      </c>
    </row>
    <row r="5" spans="1:5" x14ac:dyDescent="0.25">
      <c r="A5" s="7">
        <v>2020</v>
      </c>
      <c r="B5" s="10">
        <f>SUMIFS(Concentrado!C$2:C$199,Concentrado!$A$2:$A$199,"="&amp;$A5,Concentrado!$B$2:$B$199, "=Aguascalientes")</f>
        <v>52932</v>
      </c>
      <c r="C5" s="10">
        <f>SUMIFS(Concentrado!D$2:D$199,Concentrado!$A$2:$A$199,"="&amp;$A5,Concentrado!$B$2:$B$199, "=Aguascalientes")</f>
        <v>36252</v>
      </c>
      <c r="D5" s="10">
        <f>SUMIFS(Concentrado!E$2:E$199,Concentrado!$A$2:$A$199,"="&amp;$A5,Concentrado!$B$2:$B$199, "=Aguascalientes")</f>
        <v>164</v>
      </c>
      <c r="E5" s="10">
        <f>SUMIFS(Concentrado!F$2:F$199,Concentrado!$A$2:$A$199,"="&amp;$A5,Concentrado!$B$2:$B$199, "=Aguascalientes")</f>
        <v>89348</v>
      </c>
    </row>
    <row r="6" spans="1:5" x14ac:dyDescent="0.25">
      <c r="A6" s="7">
        <v>2021</v>
      </c>
      <c r="B6" s="10">
        <f>SUMIFS(Concentrado!C$2:C$199,Concentrado!$A$2:$A$199,"="&amp;$A6,Concentrado!$B$2:$B$199, "=Aguascalientes")</f>
        <v>54646</v>
      </c>
      <c r="C6" s="10">
        <f>SUMIFS(Concentrado!D$2:D$199,Concentrado!$A$2:$A$199,"="&amp;$A6,Concentrado!$B$2:$B$199, "=Aguascalientes")</f>
        <v>39621</v>
      </c>
      <c r="D6" s="10">
        <f>SUMIFS(Concentrado!E$2:E$199,Concentrado!$A$2:$A$199,"="&amp;$A6,Concentrado!$B$2:$B$199, "=Aguascalientes")</f>
        <v>0</v>
      </c>
      <c r="E6" s="10">
        <f>SUMIFS(Concentrado!F$2:F$199,Concentrado!$A$2:$A$199,"="&amp;$A6,Concentrado!$B$2:$B$199, "=Aguascalientes")</f>
        <v>94267</v>
      </c>
    </row>
    <row r="7" spans="1:5" x14ac:dyDescent="0.25">
      <c r="A7" s="7">
        <v>2022</v>
      </c>
      <c r="B7" s="10">
        <f>SUMIFS(Concentrado!C$2:C$199,Concentrado!$A$2:$A$199,"="&amp;$A7,Concentrado!$B$2:$B$199, "=Aguascalientes")</f>
        <v>48896</v>
      </c>
      <c r="C7" s="10">
        <f>SUMIFS(Concentrado!D$2:D$199,Concentrado!$A$2:$A$199,"="&amp;$A7,Concentrado!$B$2:$B$199, "=Aguascalientes")</f>
        <v>28909</v>
      </c>
      <c r="D7" s="10">
        <f>SUMIFS(Concentrado!E$2:E$199,Concentrado!$A$2:$A$199,"="&amp;$A7,Concentrado!$B$2:$B$199, "=Aguascalientes")</f>
        <v>0</v>
      </c>
      <c r="E7" s="10">
        <f>SUMIFS(Concentrado!F$2:F$199,Concentrado!$A$2:$A$199,"="&amp;$A7,Concentrado!$B$2:$B$199, "=Aguascalientes")</f>
        <v>77805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J20" sqref="J20:J21"/>
    </sheetView>
  </sheetViews>
  <sheetFormatPr baseColWidth="10" defaultRowHeight="15" x14ac:dyDescent="0.25"/>
  <cols>
    <col min="1" max="1" width="12.140625" customWidth="1"/>
    <col min="2" max="3" width="16.42578125" customWidth="1"/>
    <col min="4" max="4" width="24" customWidth="1"/>
    <col min="5" max="5" width="14" customWidth="1"/>
  </cols>
  <sheetData>
    <row r="1" spans="1:5" s="3" customFormat="1" ht="28.5" x14ac:dyDescent="0.2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5">
      <c r="A2" s="7">
        <v>2017</v>
      </c>
      <c r="B2" s="10">
        <f>SUMIFS(Concentrado!C$2:C$199,Concentrado!$A$2:$A$199,"="&amp;$A2,Concentrado!$B$2:$B$199, "=Tamaulipas")</f>
        <v>41573</v>
      </c>
      <c r="C2" s="10">
        <f>SUMIFS(Concentrado!D$2:D$199,Concentrado!$A$2:$A$199,"="&amp;$A2,Concentrado!$B$2:$B$199, "=Tamaulipas")</f>
        <v>199845</v>
      </c>
      <c r="D2" s="10">
        <f>SUMIFS(Concentrado!E$2:E$199,Concentrado!$A$2:$A$199,"="&amp;$A2,Concentrado!$B$2:$B$199, "=Tamaulipas")</f>
        <v>20697</v>
      </c>
      <c r="E2" s="10">
        <f>SUMIFS(Concentrado!F$2:F$199,Concentrado!$A$2:$A$199,"="&amp;$A2,Concentrado!$B$2:$B$199, "=Tamaulipas")</f>
        <v>262115</v>
      </c>
    </row>
    <row r="3" spans="1:5" x14ac:dyDescent="0.25">
      <c r="A3" s="7">
        <v>2018</v>
      </c>
      <c r="B3" s="10">
        <f>SUMIFS(Concentrado!C$2:C$199,Concentrado!$A$2:$A$199,"="&amp;$A3,Concentrado!$B$2:$B$199, "=Tamaulipas")</f>
        <v>36353</v>
      </c>
      <c r="C3" s="10">
        <f>SUMIFS(Concentrado!D$2:D$199,Concentrado!$A$2:$A$199,"="&amp;$A3,Concentrado!$B$2:$B$199, "=Tamaulipas")</f>
        <v>191467</v>
      </c>
      <c r="D3" s="10">
        <f>SUMIFS(Concentrado!E$2:E$199,Concentrado!$A$2:$A$199,"="&amp;$A3,Concentrado!$B$2:$B$199, "=Tamaulipas")</f>
        <v>26046</v>
      </c>
      <c r="E3" s="10">
        <f>SUMIFS(Concentrado!F$2:F$199,Concentrado!$A$2:$A$199,"="&amp;$A3,Concentrado!$B$2:$B$199, "=Tamaulipas")</f>
        <v>253866</v>
      </c>
    </row>
    <row r="4" spans="1:5" x14ac:dyDescent="0.25">
      <c r="A4" s="7">
        <v>2019</v>
      </c>
      <c r="B4" s="10">
        <f>SUMIFS(Concentrado!C$2:C$199,Concentrado!$A$2:$A$199,"="&amp;$A4,Concentrado!$B$2:$B$199, "=Tamaulipas")</f>
        <v>32793</v>
      </c>
      <c r="C4" s="10">
        <f>SUMIFS(Concentrado!D$2:D$199,Concentrado!$A$2:$A$199,"="&amp;$A4,Concentrado!$B$2:$B$199, "=Tamaulipas")</f>
        <v>195668</v>
      </c>
      <c r="D4" s="10">
        <f>SUMIFS(Concentrado!E$2:E$199,Concentrado!$A$2:$A$199,"="&amp;$A4,Concentrado!$B$2:$B$199, "=Tamaulipas")</f>
        <v>20020</v>
      </c>
      <c r="E4" s="10">
        <f>SUMIFS(Concentrado!F$2:F$199,Concentrado!$A$2:$A$199,"="&amp;$A4,Concentrado!$B$2:$B$199, "=Tamaulipas")</f>
        <v>248481</v>
      </c>
    </row>
    <row r="5" spans="1:5" x14ac:dyDescent="0.25">
      <c r="A5" s="7">
        <v>2020</v>
      </c>
      <c r="B5" s="10">
        <f>SUMIFS(Concentrado!C$2:C$199,Concentrado!$A$2:$A$199,"="&amp;$A5,Concentrado!$B$2:$B$199, "=Tamaulipas")</f>
        <v>22866</v>
      </c>
      <c r="C5" s="10">
        <f>SUMIFS(Concentrado!D$2:D$199,Concentrado!$A$2:$A$199,"="&amp;$A5,Concentrado!$B$2:$B$199, "=Tamaulipas")</f>
        <v>103698</v>
      </c>
      <c r="D5" s="10">
        <f>SUMIFS(Concentrado!E$2:E$199,Concentrado!$A$2:$A$199,"="&amp;$A5,Concentrado!$B$2:$B$199, "=Tamaulipas")</f>
        <v>9337</v>
      </c>
      <c r="E5" s="10">
        <f>SUMIFS(Concentrado!F$2:F$199,Concentrado!$A$2:$A$199,"="&amp;$A5,Concentrado!$B$2:$B$199, "=Tamaulipas")</f>
        <v>135901</v>
      </c>
    </row>
    <row r="6" spans="1:5" x14ac:dyDescent="0.25">
      <c r="A6" s="7">
        <v>2021</v>
      </c>
      <c r="B6" s="10">
        <f>SUMIFS(Concentrado!C$2:C$199,Concentrado!$A$2:$A$199,"="&amp;$A6,Concentrado!$B$2:$B$199, "=Tamaulipas")</f>
        <v>29726</v>
      </c>
      <c r="C6" s="10">
        <f>SUMIFS(Concentrado!D$2:D$199,Concentrado!$A$2:$A$199,"="&amp;$A6,Concentrado!$B$2:$B$199, "=Tamaulipas")</f>
        <v>90941</v>
      </c>
      <c r="D6" s="10">
        <f>SUMIFS(Concentrado!E$2:E$199,Concentrado!$A$2:$A$199,"="&amp;$A6,Concentrado!$B$2:$B$199, "=Tamaulipas")</f>
        <v>0</v>
      </c>
      <c r="E6" s="10">
        <f>SUMIFS(Concentrado!F$2:F$199,Concentrado!$A$2:$A$199,"="&amp;$A6,Concentrado!$B$2:$B$199, "=Tamaulipas")</f>
        <v>120667</v>
      </c>
    </row>
    <row r="7" spans="1:5" x14ac:dyDescent="0.25">
      <c r="A7" s="7">
        <v>2022</v>
      </c>
      <c r="B7" s="10">
        <f>SUMIFS(Concentrado!C$2:C$199,Concentrado!$A$2:$A$199,"="&amp;$A7,Concentrado!$B$2:$B$199, "=Tamaulipas")</f>
        <v>23889</v>
      </c>
      <c r="C7" s="10">
        <f>SUMIFS(Concentrado!D$2:D$199,Concentrado!$A$2:$A$199,"="&amp;$A7,Concentrado!$B$2:$B$199, "=Tamaulipas")</f>
        <v>106958</v>
      </c>
      <c r="D7" s="10">
        <f>SUMIFS(Concentrado!E$2:E$199,Concentrado!$A$2:$A$199,"="&amp;$A7,Concentrado!$B$2:$B$199, "=Tamaulipas")</f>
        <v>0</v>
      </c>
      <c r="E7" s="10">
        <f>SUMIFS(Concentrado!F$2:F$199,Concentrado!$A$2:$A$199,"="&amp;$A7,Concentrado!$B$2:$B$199, "=Tamaulipas")</f>
        <v>130847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J20" sqref="J20:J21"/>
    </sheetView>
  </sheetViews>
  <sheetFormatPr baseColWidth="10" defaultRowHeight="15" x14ac:dyDescent="0.25"/>
  <cols>
    <col min="1" max="1" width="12.140625" customWidth="1"/>
    <col min="2" max="3" width="16.42578125" customWidth="1"/>
    <col min="4" max="4" width="24" customWidth="1"/>
    <col min="5" max="5" width="14" customWidth="1"/>
  </cols>
  <sheetData>
    <row r="1" spans="1:5" s="3" customFormat="1" ht="28.5" x14ac:dyDescent="0.2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5">
      <c r="A2" s="7">
        <v>2017</v>
      </c>
      <c r="B2" s="10">
        <f>SUMIFS(Concentrado!C$2:C$199,Concentrado!$A$2:$A$199,"="&amp;$A2,Concentrado!$B$2:$B$199, "=Tlaxcala")</f>
        <v>17676</v>
      </c>
      <c r="C2" s="10">
        <f>SUMIFS(Concentrado!D$2:D$199,Concentrado!$A$2:$A$199,"="&amp;$A2,Concentrado!$B$2:$B$199, "=Tlaxcala")</f>
        <v>87261</v>
      </c>
      <c r="D2" s="10">
        <f>SUMIFS(Concentrado!E$2:E$199,Concentrado!$A$2:$A$199,"="&amp;$A2,Concentrado!$B$2:$B$199, "=Tlaxcala")</f>
        <v>208</v>
      </c>
      <c r="E2" s="10">
        <f>SUMIFS(Concentrado!F$2:F$199,Concentrado!$A$2:$A$199,"="&amp;$A2,Concentrado!$B$2:$B$199, "=Tlaxcala")</f>
        <v>105145</v>
      </c>
    </row>
    <row r="3" spans="1:5" x14ac:dyDescent="0.25">
      <c r="A3" s="7">
        <v>2018</v>
      </c>
      <c r="B3" s="10">
        <f>SUMIFS(Concentrado!C$2:C$199,Concentrado!$A$2:$A$199,"="&amp;$A3,Concentrado!$B$2:$B$199, "=Tlaxcala")</f>
        <v>16524</v>
      </c>
      <c r="C3" s="10">
        <f>SUMIFS(Concentrado!D$2:D$199,Concentrado!$A$2:$A$199,"="&amp;$A3,Concentrado!$B$2:$B$199, "=Tlaxcala")</f>
        <v>81480</v>
      </c>
      <c r="D3" s="10">
        <f>SUMIFS(Concentrado!E$2:E$199,Concentrado!$A$2:$A$199,"="&amp;$A3,Concentrado!$B$2:$B$199, "=Tlaxcala")</f>
        <v>0</v>
      </c>
      <c r="E3" s="10">
        <f>SUMIFS(Concentrado!F$2:F$199,Concentrado!$A$2:$A$199,"="&amp;$A3,Concentrado!$B$2:$B$199, "=Tlaxcala")</f>
        <v>98004</v>
      </c>
    </row>
    <row r="4" spans="1:5" x14ac:dyDescent="0.25">
      <c r="A4" s="7">
        <v>2019</v>
      </c>
      <c r="B4" s="10">
        <f>SUMIFS(Concentrado!C$2:C$199,Concentrado!$A$2:$A$199,"="&amp;$A4,Concentrado!$B$2:$B$199, "=Tlaxcala")</f>
        <v>23836</v>
      </c>
      <c r="C4" s="10">
        <f>SUMIFS(Concentrado!D$2:D$199,Concentrado!$A$2:$A$199,"="&amp;$A4,Concentrado!$B$2:$B$199, "=Tlaxcala")</f>
        <v>81926</v>
      </c>
      <c r="D4" s="10">
        <f>SUMIFS(Concentrado!E$2:E$199,Concentrado!$A$2:$A$199,"="&amp;$A4,Concentrado!$B$2:$B$199, "=Tlaxcala")</f>
        <v>0</v>
      </c>
      <c r="E4" s="10">
        <f>SUMIFS(Concentrado!F$2:F$199,Concentrado!$A$2:$A$199,"="&amp;$A4,Concentrado!$B$2:$B$199, "=Tlaxcala")</f>
        <v>105762</v>
      </c>
    </row>
    <row r="5" spans="1:5" x14ac:dyDescent="0.25">
      <c r="A5" s="7">
        <v>2020</v>
      </c>
      <c r="B5" s="10">
        <f>SUMIFS(Concentrado!C$2:C$199,Concentrado!$A$2:$A$199,"="&amp;$A5,Concentrado!$B$2:$B$199, "=Tlaxcala")</f>
        <v>12861</v>
      </c>
      <c r="C5" s="10">
        <f>SUMIFS(Concentrado!D$2:D$199,Concentrado!$A$2:$A$199,"="&amp;$A5,Concentrado!$B$2:$B$199, "=Tlaxcala")</f>
        <v>42542</v>
      </c>
      <c r="D5" s="10">
        <f>SUMIFS(Concentrado!E$2:E$199,Concentrado!$A$2:$A$199,"="&amp;$A5,Concentrado!$B$2:$B$199, "=Tlaxcala")</f>
        <v>0</v>
      </c>
      <c r="E5" s="10">
        <f>SUMIFS(Concentrado!F$2:F$199,Concentrado!$A$2:$A$199,"="&amp;$A5,Concentrado!$B$2:$B$199, "=Tlaxcala")</f>
        <v>55403</v>
      </c>
    </row>
    <row r="6" spans="1:5" x14ac:dyDescent="0.25">
      <c r="A6" s="7">
        <v>2021</v>
      </c>
      <c r="B6" s="10">
        <f>SUMIFS(Concentrado!C$2:C$199,Concentrado!$A$2:$A$199,"="&amp;$A6,Concentrado!$B$2:$B$199, "=Tlaxcala")</f>
        <v>14386</v>
      </c>
      <c r="C6" s="10">
        <f>SUMIFS(Concentrado!D$2:D$199,Concentrado!$A$2:$A$199,"="&amp;$A6,Concentrado!$B$2:$B$199, "=Tlaxcala")</f>
        <v>43221</v>
      </c>
      <c r="D6" s="10">
        <f>SUMIFS(Concentrado!E$2:E$199,Concentrado!$A$2:$A$199,"="&amp;$A6,Concentrado!$B$2:$B$199, "=Tlaxcala")</f>
        <v>0</v>
      </c>
      <c r="E6" s="10">
        <f>SUMIFS(Concentrado!F$2:F$199,Concentrado!$A$2:$A$199,"="&amp;$A6,Concentrado!$B$2:$B$199, "=Tlaxcala")</f>
        <v>57607</v>
      </c>
    </row>
    <row r="7" spans="1:5" x14ac:dyDescent="0.25">
      <c r="A7" s="7">
        <v>2022</v>
      </c>
      <c r="B7" s="10">
        <f>SUMIFS(Concentrado!C$2:C$199,Concentrado!$A$2:$A$199,"="&amp;$A7,Concentrado!$B$2:$B$199, "=Tlaxcala")</f>
        <v>13652</v>
      </c>
      <c r="C7" s="10">
        <f>SUMIFS(Concentrado!D$2:D$199,Concentrado!$A$2:$A$199,"="&amp;$A7,Concentrado!$B$2:$B$199, "=Tlaxcala")</f>
        <v>68568</v>
      </c>
      <c r="D7" s="10">
        <f>SUMIFS(Concentrado!E$2:E$199,Concentrado!$A$2:$A$199,"="&amp;$A7,Concentrado!$B$2:$B$199, "=Tlaxcala")</f>
        <v>0</v>
      </c>
      <c r="E7" s="10">
        <f>SUMIFS(Concentrado!F$2:F$199,Concentrado!$A$2:$A$199,"="&amp;$A7,Concentrado!$B$2:$B$199, "=Tlaxcala")</f>
        <v>82220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J20" sqref="J20:J21"/>
    </sheetView>
  </sheetViews>
  <sheetFormatPr baseColWidth="10" defaultRowHeight="15" x14ac:dyDescent="0.25"/>
  <cols>
    <col min="1" max="1" width="12.140625" customWidth="1"/>
    <col min="2" max="3" width="16.42578125" customWidth="1"/>
    <col min="4" max="4" width="24" customWidth="1"/>
    <col min="5" max="5" width="14" customWidth="1"/>
  </cols>
  <sheetData>
    <row r="1" spans="1:5" s="3" customFormat="1" ht="28.5" x14ac:dyDescent="0.2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5">
      <c r="A2" s="7">
        <v>2017</v>
      </c>
      <c r="B2" s="10">
        <f>SUMIFS(Concentrado!C$2:C$199,Concentrado!$A$2:$A$199,"="&amp;$A2,Concentrado!$B$2:$B$199, "=Veracruz")</f>
        <v>106652</v>
      </c>
      <c r="C2" s="10">
        <f>SUMIFS(Concentrado!D$2:D$199,Concentrado!$A$2:$A$199,"="&amp;$A2,Concentrado!$B$2:$B$199, "=Veracruz")</f>
        <v>345020</v>
      </c>
      <c r="D2" s="10">
        <f>SUMIFS(Concentrado!E$2:E$199,Concentrado!$A$2:$A$199,"="&amp;$A2,Concentrado!$B$2:$B$199, "=Veracruz")</f>
        <v>23597</v>
      </c>
      <c r="E2" s="10">
        <f>SUMIFS(Concentrado!F$2:F$199,Concentrado!$A$2:$A$199,"="&amp;$A2,Concentrado!$B$2:$B$199, "=Veracruz")</f>
        <v>475269</v>
      </c>
    </row>
    <row r="3" spans="1:5" x14ac:dyDescent="0.25">
      <c r="A3" s="7">
        <v>2018</v>
      </c>
      <c r="B3" s="10">
        <f>SUMIFS(Concentrado!C$2:C$199,Concentrado!$A$2:$A$199,"="&amp;$A3,Concentrado!$B$2:$B$199, "=Veracruz")</f>
        <v>103850</v>
      </c>
      <c r="C3" s="10">
        <f>SUMIFS(Concentrado!D$2:D$199,Concentrado!$A$2:$A$199,"="&amp;$A3,Concentrado!$B$2:$B$199, "=Veracruz")</f>
        <v>373715</v>
      </c>
      <c r="D3" s="10">
        <f>SUMIFS(Concentrado!E$2:E$199,Concentrado!$A$2:$A$199,"="&amp;$A3,Concentrado!$B$2:$B$199, "=Veracruz")</f>
        <v>23427</v>
      </c>
      <c r="E3" s="10">
        <f>SUMIFS(Concentrado!F$2:F$199,Concentrado!$A$2:$A$199,"="&amp;$A3,Concentrado!$B$2:$B$199, "=Veracruz")</f>
        <v>500992</v>
      </c>
    </row>
    <row r="4" spans="1:5" x14ac:dyDescent="0.25">
      <c r="A4" s="7">
        <v>2019</v>
      </c>
      <c r="B4" s="10">
        <f>SUMIFS(Concentrado!C$2:C$199,Concentrado!$A$2:$A$199,"="&amp;$A4,Concentrado!$B$2:$B$199, "=Veracruz")</f>
        <v>107312</v>
      </c>
      <c r="C4" s="10">
        <f>SUMIFS(Concentrado!D$2:D$199,Concentrado!$A$2:$A$199,"="&amp;$A4,Concentrado!$B$2:$B$199, "=Veracruz")</f>
        <v>418728</v>
      </c>
      <c r="D4" s="10">
        <f>SUMIFS(Concentrado!E$2:E$199,Concentrado!$A$2:$A$199,"="&amp;$A4,Concentrado!$B$2:$B$199, "=Veracruz")</f>
        <v>19888</v>
      </c>
      <c r="E4" s="10">
        <f>SUMIFS(Concentrado!F$2:F$199,Concentrado!$A$2:$A$199,"="&amp;$A4,Concentrado!$B$2:$B$199, "=Veracruz")</f>
        <v>545928</v>
      </c>
    </row>
    <row r="5" spans="1:5" x14ac:dyDescent="0.25">
      <c r="A5" s="7">
        <v>2020</v>
      </c>
      <c r="B5" s="10">
        <f>SUMIFS(Concentrado!C$2:C$199,Concentrado!$A$2:$A$199,"="&amp;$A5,Concentrado!$B$2:$B$199, "=Veracruz")</f>
        <v>67396</v>
      </c>
      <c r="C5" s="10">
        <f>SUMIFS(Concentrado!D$2:D$199,Concentrado!$A$2:$A$199,"="&amp;$A5,Concentrado!$B$2:$B$199, "=Veracruz")</f>
        <v>217754</v>
      </c>
      <c r="D5" s="10">
        <f>SUMIFS(Concentrado!E$2:E$199,Concentrado!$A$2:$A$199,"="&amp;$A5,Concentrado!$B$2:$B$199, "=Veracruz")</f>
        <v>7201</v>
      </c>
      <c r="E5" s="10">
        <f>SUMIFS(Concentrado!F$2:F$199,Concentrado!$A$2:$A$199,"="&amp;$A5,Concentrado!$B$2:$B$199, "=Veracruz")</f>
        <v>292351</v>
      </c>
    </row>
    <row r="6" spans="1:5" x14ac:dyDescent="0.25">
      <c r="A6" s="7">
        <v>2021</v>
      </c>
      <c r="B6" s="10">
        <f>SUMIFS(Concentrado!C$2:C$199,Concentrado!$A$2:$A$199,"="&amp;$A6,Concentrado!$B$2:$B$199, "=Veracruz")</f>
        <v>88149</v>
      </c>
      <c r="C6" s="10">
        <f>SUMIFS(Concentrado!D$2:D$199,Concentrado!$A$2:$A$199,"="&amp;$A6,Concentrado!$B$2:$B$199, "=Veracruz")</f>
        <v>198829</v>
      </c>
      <c r="D6" s="10">
        <f>SUMIFS(Concentrado!E$2:E$199,Concentrado!$A$2:$A$199,"="&amp;$A6,Concentrado!$B$2:$B$199, "=Veracruz")</f>
        <v>0</v>
      </c>
      <c r="E6" s="10">
        <f>SUMIFS(Concentrado!F$2:F$199,Concentrado!$A$2:$A$199,"="&amp;$A6,Concentrado!$B$2:$B$199, "=Veracruz")</f>
        <v>286978</v>
      </c>
    </row>
    <row r="7" spans="1:5" x14ac:dyDescent="0.25">
      <c r="A7" s="7">
        <v>2022</v>
      </c>
      <c r="B7" s="10">
        <f>SUMIFS(Concentrado!C$2:C$199,Concentrado!$A$2:$A$199,"="&amp;$A7,Concentrado!$B$2:$B$199, "=Veracruz")</f>
        <v>116103</v>
      </c>
      <c r="C7" s="10">
        <f>SUMIFS(Concentrado!D$2:D$199,Concentrado!$A$2:$A$199,"="&amp;$A7,Concentrado!$B$2:$B$199, "=Veracruz")</f>
        <v>265365</v>
      </c>
      <c r="D7" s="10">
        <f>SUMIFS(Concentrado!E$2:E$199,Concentrado!$A$2:$A$199,"="&amp;$A7,Concentrado!$B$2:$B$199, "=Veracruz")</f>
        <v>0</v>
      </c>
      <c r="E7" s="10">
        <f>SUMIFS(Concentrado!F$2:F$199,Concentrado!$A$2:$A$199,"="&amp;$A7,Concentrado!$B$2:$B$199, "=Veracruz")</f>
        <v>381468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J20" sqref="J20:J21"/>
    </sheetView>
  </sheetViews>
  <sheetFormatPr baseColWidth="10" defaultRowHeight="15" x14ac:dyDescent="0.25"/>
  <cols>
    <col min="1" max="1" width="12.140625" customWidth="1"/>
    <col min="2" max="3" width="16.42578125" customWidth="1"/>
    <col min="4" max="4" width="24" customWidth="1"/>
    <col min="5" max="5" width="14" customWidth="1"/>
  </cols>
  <sheetData>
    <row r="1" spans="1:5" s="3" customFormat="1" ht="28.5" x14ac:dyDescent="0.2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5">
      <c r="A2" s="7">
        <v>2017</v>
      </c>
      <c r="B2" s="10">
        <f>SUMIFS(Concentrado!C$2:C$199,Concentrado!$A$2:$A$199,"="&amp;$A2,Concentrado!$B$2:$B$199, "=Yucatán")</f>
        <v>14841</v>
      </c>
      <c r="C2" s="10">
        <f>SUMIFS(Concentrado!D$2:D$199,Concentrado!$A$2:$A$199,"="&amp;$A2,Concentrado!$B$2:$B$199, "=Yucatán")</f>
        <v>34849</v>
      </c>
      <c r="D2" s="10">
        <f>SUMIFS(Concentrado!E$2:E$199,Concentrado!$A$2:$A$199,"="&amp;$A2,Concentrado!$B$2:$B$199, "=Yucatán")</f>
        <v>2258</v>
      </c>
      <c r="E2" s="10">
        <f>SUMIFS(Concentrado!F$2:F$199,Concentrado!$A$2:$A$199,"="&amp;$A2,Concentrado!$B$2:$B$199, "=Yucatán")</f>
        <v>51948</v>
      </c>
    </row>
    <row r="3" spans="1:5" x14ac:dyDescent="0.25">
      <c r="A3" s="7">
        <v>2018</v>
      </c>
      <c r="B3" s="10">
        <f>SUMIFS(Concentrado!C$2:C$199,Concentrado!$A$2:$A$199,"="&amp;$A3,Concentrado!$B$2:$B$199, "=Yucatán")</f>
        <v>14213</v>
      </c>
      <c r="C3" s="10">
        <f>SUMIFS(Concentrado!D$2:D$199,Concentrado!$A$2:$A$199,"="&amp;$A3,Concentrado!$B$2:$B$199, "=Yucatán")</f>
        <v>26738</v>
      </c>
      <c r="D3" s="10">
        <f>SUMIFS(Concentrado!E$2:E$199,Concentrado!$A$2:$A$199,"="&amp;$A3,Concentrado!$B$2:$B$199, "=Yucatán")</f>
        <v>178</v>
      </c>
      <c r="E3" s="10">
        <f>SUMIFS(Concentrado!F$2:F$199,Concentrado!$A$2:$A$199,"="&amp;$A3,Concentrado!$B$2:$B$199, "=Yucatán")</f>
        <v>41129</v>
      </c>
    </row>
    <row r="4" spans="1:5" x14ac:dyDescent="0.25">
      <c r="A4" s="7">
        <v>2019</v>
      </c>
      <c r="B4" s="10">
        <f>SUMIFS(Concentrado!C$2:C$199,Concentrado!$A$2:$A$199,"="&amp;$A4,Concentrado!$B$2:$B$199, "=Yucatán")</f>
        <v>17515</v>
      </c>
      <c r="C4" s="10">
        <f>SUMIFS(Concentrado!D$2:D$199,Concentrado!$A$2:$A$199,"="&amp;$A4,Concentrado!$B$2:$B$199, "=Yucatán")</f>
        <v>32519</v>
      </c>
      <c r="D4" s="10">
        <f>SUMIFS(Concentrado!E$2:E$199,Concentrado!$A$2:$A$199,"="&amp;$A4,Concentrado!$B$2:$B$199, "=Yucatán")</f>
        <v>57</v>
      </c>
      <c r="E4" s="10">
        <f>SUMIFS(Concentrado!F$2:F$199,Concentrado!$A$2:$A$199,"="&amp;$A4,Concentrado!$B$2:$B$199, "=Yucatán")</f>
        <v>50091</v>
      </c>
    </row>
    <row r="5" spans="1:5" x14ac:dyDescent="0.25">
      <c r="A5" s="7">
        <v>2020</v>
      </c>
      <c r="B5" s="10">
        <f>SUMIFS(Concentrado!C$2:C$199,Concentrado!$A$2:$A$199,"="&amp;$A5,Concentrado!$B$2:$B$199, "=Yucatán")</f>
        <v>7623</v>
      </c>
      <c r="C5" s="10">
        <f>SUMIFS(Concentrado!D$2:D$199,Concentrado!$A$2:$A$199,"="&amp;$A5,Concentrado!$B$2:$B$199, "=Yucatán")</f>
        <v>27594</v>
      </c>
      <c r="D5" s="10">
        <f>SUMIFS(Concentrado!E$2:E$199,Concentrado!$A$2:$A$199,"="&amp;$A5,Concentrado!$B$2:$B$199, "=Yucatán")</f>
        <v>0</v>
      </c>
      <c r="E5" s="10">
        <f>SUMIFS(Concentrado!F$2:F$199,Concentrado!$A$2:$A$199,"="&amp;$A5,Concentrado!$B$2:$B$199, "=Yucatán")</f>
        <v>35217</v>
      </c>
    </row>
    <row r="6" spans="1:5" x14ac:dyDescent="0.25">
      <c r="A6" s="7">
        <v>2021</v>
      </c>
      <c r="B6" s="10">
        <f>SUMIFS(Concentrado!C$2:C$199,Concentrado!$A$2:$A$199,"="&amp;$A6,Concentrado!$B$2:$B$199, "=Yucatán")</f>
        <v>8970</v>
      </c>
      <c r="C6" s="10">
        <f>SUMIFS(Concentrado!D$2:D$199,Concentrado!$A$2:$A$199,"="&amp;$A6,Concentrado!$B$2:$B$199, "=Yucatán")</f>
        <v>39317</v>
      </c>
      <c r="D6" s="10">
        <f>SUMIFS(Concentrado!E$2:E$199,Concentrado!$A$2:$A$199,"="&amp;$A6,Concentrado!$B$2:$B$199, "=Yucatán")</f>
        <v>0</v>
      </c>
      <c r="E6" s="10">
        <f>SUMIFS(Concentrado!F$2:F$199,Concentrado!$A$2:$A$199,"="&amp;$A6,Concentrado!$B$2:$B$199, "=Yucatán")</f>
        <v>48287</v>
      </c>
    </row>
    <row r="7" spans="1:5" x14ac:dyDescent="0.25">
      <c r="A7" s="7">
        <v>2022</v>
      </c>
      <c r="B7" s="10">
        <f>SUMIFS(Concentrado!C$2:C$199,Concentrado!$A$2:$A$199,"="&amp;$A7,Concentrado!$B$2:$B$199, "=Yucatán")</f>
        <v>10493</v>
      </c>
      <c r="C7" s="10">
        <f>SUMIFS(Concentrado!D$2:D$199,Concentrado!$A$2:$A$199,"="&amp;$A7,Concentrado!$B$2:$B$199, "=Yucatán")</f>
        <v>46205</v>
      </c>
      <c r="D7" s="10">
        <f>SUMIFS(Concentrado!E$2:E$199,Concentrado!$A$2:$A$199,"="&amp;$A7,Concentrado!$B$2:$B$199, "=Yucatán")</f>
        <v>0</v>
      </c>
      <c r="E7" s="10">
        <f>SUMIFS(Concentrado!F$2:F$199,Concentrado!$A$2:$A$199,"="&amp;$A7,Concentrado!$B$2:$B$199, "=Yucatán")</f>
        <v>56698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J20" sqref="J20:J21"/>
    </sheetView>
  </sheetViews>
  <sheetFormatPr baseColWidth="10" defaultRowHeight="15" x14ac:dyDescent="0.25"/>
  <cols>
    <col min="1" max="1" width="12.140625" customWidth="1"/>
    <col min="2" max="3" width="16.42578125" customWidth="1"/>
    <col min="4" max="4" width="24" customWidth="1"/>
    <col min="5" max="5" width="14" customWidth="1"/>
  </cols>
  <sheetData>
    <row r="1" spans="1:5" s="3" customFormat="1" ht="28.5" x14ac:dyDescent="0.2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5">
      <c r="A2" s="7">
        <v>2017</v>
      </c>
      <c r="B2" s="10">
        <f>SUMIFS(Concentrado!C$2:C$199,Concentrado!$A$2:$A$199,"="&amp;$A2,Concentrado!$B$2:$B$199, "=Zacatecas")</f>
        <v>88813</v>
      </c>
      <c r="C2" s="10">
        <f>SUMIFS(Concentrado!D$2:D$199,Concentrado!$A$2:$A$199,"="&amp;$A2,Concentrado!$B$2:$B$199, "=Zacatecas")</f>
        <v>179521</v>
      </c>
      <c r="D2" s="10">
        <f>SUMIFS(Concentrado!E$2:E$199,Concentrado!$A$2:$A$199,"="&amp;$A2,Concentrado!$B$2:$B$199, "=Zacatecas")</f>
        <v>1393</v>
      </c>
      <c r="E2" s="10">
        <f>SUMIFS(Concentrado!F$2:F$199,Concentrado!$A$2:$A$199,"="&amp;$A2,Concentrado!$B$2:$B$199, "=Zacatecas")</f>
        <v>269727</v>
      </c>
    </row>
    <row r="3" spans="1:5" x14ac:dyDescent="0.25">
      <c r="A3" s="7">
        <v>2018</v>
      </c>
      <c r="B3" s="10">
        <f>SUMIFS(Concentrado!C$2:C$199,Concentrado!$A$2:$A$199,"="&amp;$A3,Concentrado!$B$2:$B$199, "=Zacatecas")</f>
        <v>71874</v>
      </c>
      <c r="C3" s="10">
        <f>SUMIFS(Concentrado!D$2:D$199,Concentrado!$A$2:$A$199,"="&amp;$A3,Concentrado!$B$2:$B$199, "=Zacatecas")</f>
        <v>172889</v>
      </c>
      <c r="D3" s="10">
        <f>SUMIFS(Concentrado!E$2:E$199,Concentrado!$A$2:$A$199,"="&amp;$A3,Concentrado!$B$2:$B$199, "=Zacatecas")</f>
        <v>3113</v>
      </c>
      <c r="E3" s="10">
        <f>SUMIFS(Concentrado!F$2:F$199,Concentrado!$A$2:$A$199,"="&amp;$A3,Concentrado!$B$2:$B$199, "=Zacatecas")</f>
        <v>247876</v>
      </c>
    </row>
    <row r="4" spans="1:5" x14ac:dyDescent="0.25">
      <c r="A4" s="7">
        <v>2019</v>
      </c>
      <c r="B4" s="10">
        <f>SUMIFS(Concentrado!C$2:C$199,Concentrado!$A$2:$A$199,"="&amp;$A4,Concentrado!$B$2:$B$199, "=Zacatecas")</f>
        <v>58414</v>
      </c>
      <c r="C4" s="10">
        <f>SUMIFS(Concentrado!D$2:D$199,Concentrado!$A$2:$A$199,"="&amp;$A4,Concentrado!$B$2:$B$199, "=Zacatecas")</f>
        <v>163504</v>
      </c>
      <c r="D4" s="10">
        <f>SUMIFS(Concentrado!E$2:E$199,Concentrado!$A$2:$A$199,"="&amp;$A4,Concentrado!$B$2:$B$199, "=Zacatecas")</f>
        <v>2481</v>
      </c>
      <c r="E4" s="10">
        <f>SUMIFS(Concentrado!F$2:F$199,Concentrado!$A$2:$A$199,"="&amp;$A4,Concentrado!$B$2:$B$199, "=Zacatecas")</f>
        <v>224399</v>
      </c>
    </row>
    <row r="5" spans="1:5" x14ac:dyDescent="0.25">
      <c r="A5" s="7">
        <v>2020</v>
      </c>
      <c r="B5" s="10">
        <f>SUMIFS(Concentrado!C$2:C$199,Concentrado!$A$2:$A$199,"="&amp;$A5,Concentrado!$B$2:$B$199, "=Zacatecas")</f>
        <v>36990</v>
      </c>
      <c r="C5" s="10">
        <f>SUMIFS(Concentrado!D$2:D$199,Concentrado!$A$2:$A$199,"="&amp;$A5,Concentrado!$B$2:$B$199, "=Zacatecas")</f>
        <v>87250</v>
      </c>
      <c r="D5" s="10">
        <f>SUMIFS(Concentrado!E$2:E$199,Concentrado!$A$2:$A$199,"="&amp;$A5,Concentrado!$B$2:$B$199, "=Zacatecas")</f>
        <v>995</v>
      </c>
      <c r="E5" s="10">
        <f>SUMIFS(Concentrado!F$2:F$199,Concentrado!$A$2:$A$199,"="&amp;$A5,Concentrado!$B$2:$B$199, "=Zacatecas")</f>
        <v>125235</v>
      </c>
    </row>
    <row r="6" spans="1:5" x14ac:dyDescent="0.25">
      <c r="A6" s="7">
        <v>2021</v>
      </c>
      <c r="B6" s="10">
        <f>SUMIFS(Concentrado!C$2:C$199,Concentrado!$A$2:$A$199,"="&amp;$A6,Concentrado!$B$2:$B$199, "=Zacatecas")</f>
        <v>38734</v>
      </c>
      <c r="C6" s="10">
        <f>SUMIFS(Concentrado!D$2:D$199,Concentrado!$A$2:$A$199,"="&amp;$A6,Concentrado!$B$2:$B$199, "=Zacatecas")</f>
        <v>80126</v>
      </c>
      <c r="D6" s="10">
        <f>SUMIFS(Concentrado!E$2:E$199,Concentrado!$A$2:$A$199,"="&amp;$A6,Concentrado!$B$2:$B$199, "=Zacatecas")</f>
        <v>0</v>
      </c>
      <c r="E6" s="10">
        <f>SUMIFS(Concentrado!F$2:F$199,Concentrado!$A$2:$A$199,"="&amp;$A6,Concentrado!$B$2:$B$199, "=Zacatecas")</f>
        <v>118860</v>
      </c>
    </row>
    <row r="7" spans="1:5" x14ac:dyDescent="0.25">
      <c r="A7" s="7">
        <v>2022</v>
      </c>
      <c r="B7" s="10">
        <f>SUMIFS(Concentrado!C$2:C$199,Concentrado!$A$2:$A$199,"="&amp;$A7,Concentrado!$B$2:$B$199, "=Zacatecas")</f>
        <v>44558</v>
      </c>
      <c r="C7" s="10">
        <f>SUMIFS(Concentrado!D$2:D$199,Concentrado!$A$2:$A$199,"="&amp;$A7,Concentrado!$B$2:$B$199, "=Zacatecas")</f>
        <v>94228</v>
      </c>
      <c r="D7" s="10">
        <f>SUMIFS(Concentrado!E$2:E$199,Concentrado!$A$2:$A$199,"="&amp;$A7,Concentrado!$B$2:$B$199, "=Zacatecas")</f>
        <v>0</v>
      </c>
      <c r="E7" s="10">
        <f>SUMIFS(Concentrado!F$2:F$199,Concentrado!$A$2:$A$199,"="&amp;$A7,Concentrado!$B$2:$B$199, "=Zacatecas")</f>
        <v>138786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J20" sqref="J20:J21"/>
    </sheetView>
  </sheetViews>
  <sheetFormatPr baseColWidth="10" defaultRowHeight="15" x14ac:dyDescent="0.25"/>
  <cols>
    <col min="1" max="1" width="12.140625" customWidth="1"/>
    <col min="2" max="3" width="16.42578125" customWidth="1"/>
    <col min="4" max="4" width="24" customWidth="1"/>
    <col min="5" max="5" width="14" customWidth="1"/>
  </cols>
  <sheetData>
    <row r="1" spans="1:5" s="3" customFormat="1" ht="28.5" x14ac:dyDescent="0.2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5">
      <c r="A2" s="7">
        <v>2017</v>
      </c>
      <c r="B2" s="10">
        <f>SUMIFS(Concentrado!C$2:C$199,Concentrado!$A$2:$A$199,"="&amp;$A2,Concentrado!$B$2:$B$199, "=Baja California")</f>
        <v>47292</v>
      </c>
      <c r="C2" s="10">
        <f>SUMIFS(Concentrado!D$2:D$199,Concentrado!$A$2:$A$199,"="&amp;$A2,Concentrado!$B$2:$B$199, "=Baja California")</f>
        <v>124203</v>
      </c>
      <c r="D2" s="10">
        <f>SUMIFS(Concentrado!E$2:E$199,Concentrado!$A$2:$A$199,"="&amp;$A2,Concentrado!$B$2:$B$199, "=Baja California")</f>
        <v>1390</v>
      </c>
      <c r="E2" s="10">
        <f>SUMIFS(Concentrado!F$2:F$199,Concentrado!$A$2:$A$199,"="&amp;$A2,Concentrado!$B$2:$B$199, "=Baja California")</f>
        <v>172885</v>
      </c>
    </row>
    <row r="3" spans="1:5" x14ac:dyDescent="0.25">
      <c r="A3" s="7">
        <v>2018</v>
      </c>
      <c r="B3" s="10">
        <f>SUMIFS(Concentrado!C$2:C$199,Concentrado!$A$2:$A$199,"="&amp;$A3,Concentrado!$B$2:$B$199, "=Baja California")</f>
        <v>54453</v>
      </c>
      <c r="C3" s="10">
        <f>SUMIFS(Concentrado!D$2:D$199,Concentrado!$A$2:$A$199,"="&amp;$A3,Concentrado!$B$2:$B$199, "=Baja California")</f>
        <v>120008</v>
      </c>
      <c r="D3" s="10">
        <f>SUMIFS(Concentrado!E$2:E$199,Concentrado!$A$2:$A$199,"="&amp;$A3,Concentrado!$B$2:$B$199, "=Baja California")</f>
        <v>3475</v>
      </c>
      <c r="E3" s="10">
        <f>SUMIFS(Concentrado!F$2:F$199,Concentrado!$A$2:$A$199,"="&amp;$A3,Concentrado!$B$2:$B$199, "=Baja California")</f>
        <v>177936</v>
      </c>
    </row>
    <row r="4" spans="1:5" x14ac:dyDescent="0.25">
      <c r="A4" s="7">
        <v>2019</v>
      </c>
      <c r="B4" s="10">
        <f>SUMIFS(Concentrado!C$2:C$199,Concentrado!$A$2:$A$199,"="&amp;$A4,Concentrado!$B$2:$B$199, "=Baja California")</f>
        <v>71168</v>
      </c>
      <c r="C4" s="10">
        <f>SUMIFS(Concentrado!D$2:D$199,Concentrado!$A$2:$A$199,"="&amp;$A4,Concentrado!$B$2:$B$199, "=Baja California")</f>
        <v>134728</v>
      </c>
      <c r="D4" s="10">
        <f>SUMIFS(Concentrado!E$2:E$199,Concentrado!$A$2:$A$199,"="&amp;$A4,Concentrado!$B$2:$B$199, "=Baja California")</f>
        <v>808</v>
      </c>
      <c r="E4" s="10">
        <f>SUMIFS(Concentrado!F$2:F$199,Concentrado!$A$2:$A$199,"="&amp;$A4,Concentrado!$B$2:$B$199, "=Baja California")</f>
        <v>206704</v>
      </c>
    </row>
    <row r="5" spans="1:5" x14ac:dyDescent="0.25">
      <c r="A5" s="7">
        <v>2020</v>
      </c>
      <c r="B5" s="10">
        <f>SUMIFS(Concentrado!C$2:C$199,Concentrado!$A$2:$A$199,"="&amp;$A5,Concentrado!$B$2:$B$199, "=Baja California")</f>
        <v>47676</v>
      </c>
      <c r="C5" s="10">
        <f>SUMIFS(Concentrado!D$2:D$199,Concentrado!$A$2:$A$199,"="&amp;$A5,Concentrado!$B$2:$B$199, "=Baja California")</f>
        <v>56876</v>
      </c>
      <c r="D5" s="10">
        <f>SUMIFS(Concentrado!E$2:E$199,Concentrado!$A$2:$A$199,"="&amp;$A5,Concentrado!$B$2:$B$199, "=Baja California")</f>
        <v>143</v>
      </c>
      <c r="E5" s="10">
        <f>SUMIFS(Concentrado!F$2:F$199,Concentrado!$A$2:$A$199,"="&amp;$A5,Concentrado!$B$2:$B$199, "=Baja California")</f>
        <v>104695</v>
      </c>
    </row>
    <row r="6" spans="1:5" x14ac:dyDescent="0.25">
      <c r="A6" s="7">
        <v>2021</v>
      </c>
      <c r="B6" s="10">
        <f>SUMIFS(Concentrado!C$2:C$199,Concentrado!$A$2:$A$199,"="&amp;$A6,Concentrado!$B$2:$B$199, "=Baja California")</f>
        <v>31804</v>
      </c>
      <c r="C6" s="10">
        <f>SUMIFS(Concentrado!D$2:D$199,Concentrado!$A$2:$A$199,"="&amp;$A6,Concentrado!$B$2:$B$199, "=Baja California")</f>
        <v>72092</v>
      </c>
      <c r="D6" s="10">
        <f>SUMIFS(Concentrado!E$2:E$199,Concentrado!$A$2:$A$199,"="&amp;$A6,Concentrado!$B$2:$B$199, "=Baja California")</f>
        <v>0</v>
      </c>
      <c r="E6" s="10">
        <f>SUMIFS(Concentrado!F$2:F$199,Concentrado!$A$2:$A$199,"="&amp;$A6,Concentrado!$B$2:$B$199, "=Baja California")</f>
        <v>103896</v>
      </c>
    </row>
    <row r="7" spans="1:5" x14ac:dyDescent="0.25">
      <c r="A7" s="7">
        <v>2022</v>
      </c>
      <c r="B7" s="10">
        <f>SUMIFS(Concentrado!C$2:C$199,Concentrado!$A$2:$A$199,"="&amp;$A7,Concentrado!$B$2:$B$199, "=Baja California")</f>
        <v>32585</v>
      </c>
      <c r="C7" s="10">
        <f>SUMIFS(Concentrado!D$2:D$199,Concentrado!$A$2:$A$199,"="&amp;$A7,Concentrado!$B$2:$B$199, "=Baja California")</f>
        <v>93585</v>
      </c>
      <c r="D7" s="10">
        <f>SUMIFS(Concentrado!E$2:E$199,Concentrado!$A$2:$A$199,"="&amp;$A7,Concentrado!$B$2:$B$199, "=Baja California")</f>
        <v>0</v>
      </c>
      <c r="E7" s="10">
        <f>SUMIFS(Concentrado!F$2:F$199,Concentrado!$A$2:$A$199,"="&amp;$A7,Concentrado!$B$2:$B$199, "=Baja California")</f>
        <v>126170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J20" sqref="J20:J21"/>
    </sheetView>
  </sheetViews>
  <sheetFormatPr baseColWidth="10" defaultRowHeight="15" x14ac:dyDescent="0.25"/>
  <cols>
    <col min="1" max="1" width="12.140625" customWidth="1"/>
    <col min="2" max="3" width="16.42578125" customWidth="1"/>
    <col min="4" max="4" width="24" customWidth="1"/>
    <col min="5" max="5" width="14" customWidth="1"/>
  </cols>
  <sheetData>
    <row r="1" spans="1:5" s="3" customFormat="1" ht="28.5" x14ac:dyDescent="0.2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5">
      <c r="A2" s="7">
        <v>2017</v>
      </c>
      <c r="B2" s="10">
        <f>SUMIFS(Concentrado!C$2:C$199,Concentrado!$A$2:$A$199,"="&amp;$A2,Concentrado!$B$2:$B$199, "=Baja California Sur")</f>
        <v>15688</v>
      </c>
      <c r="C2" s="10">
        <f>SUMIFS(Concentrado!D$2:D$199,Concentrado!$A$2:$A$199,"="&amp;$A2,Concentrado!$B$2:$B$199, "=Baja California Sur")</f>
        <v>68955</v>
      </c>
      <c r="D2" s="10">
        <f>SUMIFS(Concentrado!E$2:E$199,Concentrado!$A$2:$A$199,"="&amp;$A2,Concentrado!$B$2:$B$199, "=Baja California Sur")</f>
        <v>267</v>
      </c>
      <c r="E2" s="10">
        <f>SUMIFS(Concentrado!F$2:F$199,Concentrado!$A$2:$A$199,"="&amp;$A2,Concentrado!$B$2:$B$199, "=Baja California Sur")</f>
        <v>84910</v>
      </c>
    </row>
    <row r="3" spans="1:5" x14ac:dyDescent="0.25">
      <c r="A3" s="7">
        <v>2018</v>
      </c>
      <c r="B3" s="10">
        <f>SUMIFS(Concentrado!C$2:C$199,Concentrado!$A$2:$A$199,"="&amp;$A3,Concentrado!$B$2:$B$199, "=Baja California Sur")</f>
        <v>12212</v>
      </c>
      <c r="C3" s="10">
        <f>SUMIFS(Concentrado!D$2:D$199,Concentrado!$A$2:$A$199,"="&amp;$A3,Concentrado!$B$2:$B$199, "=Baja California Sur")</f>
        <v>74848</v>
      </c>
      <c r="D3" s="10">
        <f>SUMIFS(Concentrado!E$2:E$199,Concentrado!$A$2:$A$199,"="&amp;$A3,Concentrado!$B$2:$B$199, "=Baja California Sur")</f>
        <v>101</v>
      </c>
      <c r="E3" s="10">
        <f>SUMIFS(Concentrado!F$2:F$199,Concentrado!$A$2:$A$199,"="&amp;$A3,Concentrado!$B$2:$B$199, "=Baja California Sur")</f>
        <v>87161</v>
      </c>
    </row>
    <row r="4" spans="1:5" x14ac:dyDescent="0.25">
      <c r="A4" s="7">
        <v>2019</v>
      </c>
      <c r="B4" s="10">
        <f>SUMIFS(Concentrado!C$2:C$199,Concentrado!$A$2:$A$199,"="&amp;$A4,Concentrado!$B$2:$B$199, "=Baja California Sur")</f>
        <v>13016</v>
      </c>
      <c r="C4" s="10">
        <f>SUMIFS(Concentrado!D$2:D$199,Concentrado!$A$2:$A$199,"="&amp;$A4,Concentrado!$B$2:$B$199, "=Baja California Sur")</f>
        <v>68476</v>
      </c>
      <c r="D4" s="10">
        <f>SUMIFS(Concentrado!E$2:E$199,Concentrado!$A$2:$A$199,"="&amp;$A4,Concentrado!$B$2:$B$199, "=Baja California Sur")</f>
        <v>62</v>
      </c>
      <c r="E4" s="10">
        <f>SUMIFS(Concentrado!F$2:F$199,Concentrado!$A$2:$A$199,"="&amp;$A4,Concentrado!$B$2:$B$199, "=Baja California Sur")</f>
        <v>81554</v>
      </c>
    </row>
    <row r="5" spans="1:5" x14ac:dyDescent="0.25">
      <c r="A5" s="7">
        <v>2020</v>
      </c>
      <c r="B5" s="10">
        <f>SUMIFS(Concentrado!C$2:C$199,Concentrado!$A$2:$A$199,"="&amp;$A5,Concentrado!$B$2:$B$199, "=Baja California Sur")</f>
        <v>7753</v>
      </c>
      <c r="C5" s="10">
        <f>SUMIFS(Concentrado!D$2:D$199,Concentrado!$A$2:$A$199,"="&amp;$A5,Concentrado!$B$2:$B$199, "=Baja California Sur")</f>
        <v>31016</v>
      </c>
      <c r="D5" s="10">
        <f>SUMIFS(Concentrado!E$2:E$199,Concentrado!$A$2:$A$199,"="&amp;$A5,Concentrado!$B$2:$B$199, "=Baja California Sur")</f>
        <v>4</v>
      </c>
      <c r="E5" s="10">
        <f>SUMIFS(Concentrado!F$2:F$199,Concentrado!$A$2:$A$199,"="&amp;$A5,Concentrado!$B$2:$B$199, "=Baja California Sur")</f>
        <v>38773</v>
      </c>
    </row>
    <row r="6" spans="1:5" x14ac:dyDescent="0.25">
      <c r="A6" s="7">
        <v>2021</v>
      </c>
      <c r="B6" s="10">
        <f>SUMIFS(Concentrado!C$2:C$199,Concentrado!$A$2:$A$199,"="&amp;$A6,Concentrado!$B$2:$B$199, "=Baja California Sur")</f>
        <v>6801</v>
      </c>
      <c r="C6" s="10">
        <f>SUMIFS(Concentrado!D$2:D$199,Concentrado!$A$2:$A$199,"="&amp;$A6,Concentrado!$B$2:$B$199, "=Baja California Sur")</f>
        <v>26256</v>
      </c>
      <c r="D6" s="10">
        <f>SUMIFS(Concentrado!E$2:E$199,Concentrado!$A$2:$A$199,"="&amp;$A6,Concentrado!$B$2:$B$199, "=Baja California Sur")</f>
        <v>0</v>
      </c>
      <c r="E6" s="10">
        <f>SUMIFS(Concentrado!F$2:F$199,Concentrado!$A$2:$A$199,"="&amp;$A6,Concentrado!$B$2:$B$199, "=Baja California Sur")</f>
        <v>33057</v>
      </c>
    </row>
    <row r="7" spans="1:5" x14ac:dyDescent="0.25">
      <c r="A7" s="7">
        <v>2022</v>
      </c>
      <c r="B7" s="10">
        <f>SUMIFS(Concentrado!C$2:C$199,Concentrado!$A$2:$A$199,"="&amp;$A7,Concentrado!$B$2:$B$199, "=Baja California Sur")</f>
        <v>9323</v>
      </c>
      <c r="C7" s="10">
        <f>SUMIFS(Concentrado!D$2:D$199,Concentrado!$A$2:$A$199,"="&amp;$A7,Concentrado!$B$2:$B$199, "=Baja California Sur")</f>
        <v>22988</v>
      </c>
      <c r="D7" s="10">
        <f>SUMIFS(Concentrado!E$2:E$199,Concentrado!$A$2:$A$199,"="&amp;$A7,Concentrado!$B$2:$B$199, "=Baja California Sur")</f>
        <v>0</v>
      </c>
      <c r="E7" s="10">
        <f>SUMIFS(Concentrado!F$2:F$199,Concentrado!$A$2:$A$199,"="&amp;$A7,Concentrado!$B$2:$B$199, "=Baja California Sur")</f>
        <v>32311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J20" sqref="J20:J21"/>
    </sheetView>
  </sheetViews>
  <sheetFormatPr baseColWidth="10" defaultRowHeight="15" x14ac:dyDescent="0.25"/>
  <cols>
    <col min="1" max="1" width="12.140625" customWidth="1"/>
    <col min="2" max="3" width="16.42578125" customWidth="1"/>
    <col min="4" max="4" width="24" customWidth="1"/>
    <col min="5" max="5" width="14" customWidth="1"/>
  </cols>
  <sheetData>
    <row r="1" spans="1:5" s="3" customFormat="1" ht="28.5" x14ac:dyDescent="0.2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5">
      <c r="A2" s="7">
        <v>2017</v>
      </c>
      <c r="B2" s="10">
        <f>SUMIFS(Concentrado!C$2:C$199,Concentrado!$A$2:$A$199,"="&amp;$A2,Concentrado!$B$2:$B$199, "=Campeche")</f>
        <v>17276</v>
      </c>
      <c r="C2" s="10">
        <f>SUMIFS(Concentrado!D$2:D$199,Concentrado!$A$2:$A$199,"="&amp;$A2,Concentrado!$B$2:$B$199, "=Campeche")</f>
        <v>62803</v>
      </c>
      <c r="D2" s="10">
        <f>SUMIFS(Concentrado!E$2:E$199,Concentrado!$A$2:$A$199,"="&amp;$A2,Concentrado!$B$2:$B$199, "=Campeche")</f>
        <v>3963</v>
      </c>
      <c r="E2" s="10">
        <f>SUMIFS(Concentrado!F$2:F$199,Concentrado!$A$2:$A$199,"="&amp;$A2,Concentrado!$B$2:$B$199, "=Campeche")</f>
        <v>84042</v>
      </c>
    </row>
    <row r="3" spans="1:5" x14ac:dyDescent="0.25">
      <c r="A3" s="7">
        <v>2018</v>
      </c>
      <c r="B3" s="10">
        <f>SUMIFS(Concentrado!C$2:C$199,Concentrado!$A$2:$A$199,"="&amp;$A3,Concentrado!$B$2:$B$199, "=Campeche")</f>
        <v>14055</v>
      </c>
      <c r="C3" s="10">
        <f>SUMIFS(Concentrado!D$2:D$199,Concentrado!$A$2:$A$199,"="&amp;$A3,Concentrado!$B$2:$B$199, "=Campeche")</f>
        <v>59064</v>
      </c>
      <c r="D3" s="10">
        <f>SUMIFS(Concentrado!E$2:E$199,Concentrado!$A$2:$A$199,"="&amp;$A3,Concentrado!$B$2:$B$199, "=Campeche")</f>
        <v>984</v>
      </c>
      <c r="E3" s="10">
        <f>SUMIFS(Concentrado!F$2:F$199,Concentrado!$A$2:$A$199,"="&amp;$A3,Concentrado!$B$2:$B$199, "=Campeche")</f>
        <v>74103</v>
      </c>
    </row>
    <row r="4" spans="1:5" x14ac:dyDescent="0.25">
      <c r="A4" s="7">
        <v>2019</v>
      </c>
      <c r="B4" s="10">
        <f>SUMIFS(Concentrado!C$2:C$199,Concentrado!$A$2:$A$199,"="&amp;$A4,Concentrado!$B$2:$B$199, "=Campeche")</f>
        <v>10445</v>
      </c>
      <c r="C4" s="10">
        <f>SUMIFS(Concentrado!D$2:D$199,Concentrado!$A$2:$A$199,"="&amp;$A4,Concentrado!$B$2:$B$199, "=Campeche")</f>
        <v>66648</v>
      </c>
      <c r="D4" s="10">
        <f>SUMIFS(Concentrado!E$2:E$199,Concentrado!$A$2:$A$199,"="&amp;$A4,Concentrado!$B$2:$B$199, "=Campeche")</f>
        <v>0</v>
      </c>
      <c r="E4" s="10">
        <f>SUMIFS(Concentrado!F$2:F$199,Concentrado!$A$2:$A$199,"="&amp;$A4,Concentrado!$B$2:$B$199, "=Campeche")</f>
        <v>77093</v>
      </c>
    </row>
    <row r="5" spans="1:5" x14ac:dyDescent="0.25">
      <c r="A5" s="7">
        <v>2020</v>
      </c>
      <c r="B5" s="10">
        <f>SUMIFS(Concentrado!C$2:C$199,Concentrado!$A$2:$A$199,"="&amp;$A5,Concentrado!$B$2:$B$199, "=Campeche")</f>
        <v>9351</v>
      </c>
      <c r="C5" s="10">
        <f>SUMIFS(Concentrado!D$2:D$199,Concentrado!$A$2:$A$199,"="&amp;$A5,Concentrado!$B$2:$B$199, "=Campeche")</f>
        <v>40150</v>
      </c>
      <c r="D5" s="10">
        <f>SUMIFS(Concentrado!E$2:E$199,Concentrado!$A$2:$A$199,"="&amp;$A5,Concentrado!$B$2:$B$199, "=Campeche")</f>
        <v>0</v>
      </c>
      <c r="E5" s="10">
        <f>SUMIFS(Concentrado!F$2:F$199,Concentrado!$A$2:$A$199,"="&amp;$A5,Concentrado!$B$2:$B$199, "=Campeche")</f>
        <v>49501</v>
      </c>
    </row>
    <row r="6" spans="1:5" x14ac:dyDescent="0.25">
      <c r="A6" s="7">
        <v>2021</v>
      </c>
      <c r="B6" s="10">
        <f>SUMIFS(Concentrado!C$2:C$199,Concentrado!$A$2:$A$199,"="&amp;$A6,Concentrado!$B$2:$B$199, "=Campeche")</f>
        <v>8777</v>
      </c>
      <c r="C6" s="10">
        <f>SUMIFS(Concentrado!D$2:D$199,Concentrado!$A$2:$A$199,"="&amp;$A6,Concentrado!$B$2:$B$199, "=Campeche")</f>
        <v>50349</v>
      </c>
      <c r="D6" s="10">
        <f>SUMIFS(Concentrado!E$2:E$199,Concentrado!$A$2:$A$199,"="&amp;$A6,Concentrado!$B$2:$B$199, "=Campeche")</f>
        <v>0</v>
      </c>
      <c r="E6" s="10">
        <f>SUMIFS(Concentrado!F$2:F$199,Concentrado!$A$2:$A$199,"="&amp;$A6,Concentrado!$B$2:$B$199, "=Campeche")</f>
        <v>59126</v>
      </c>
    </row>
    <row r="7" spans="1:5" x14ac:dyDescent="0.25">
      <c r="A7" s="7">
        <v>2022</v>
      </c>
      <c r="B7" s="10">
        <f>SUMIFS(Concentrado!C$2:C$199,Concentrado!$A$2:$A$199,"="&amp;$A7,Concentrado!$B$2:$B$199, "=Campeche")</f>
        <v>9829</v>
      </c>
      <c r="C7" s="10">
        <f>SUMIFS(Concentrado!D$2:D$199,Concentrado!$A$2:$A$199,"="&amp;$A7,Concentrado!$B$2:$B$199, "=Campeche")</f>
        <v>54442</v>
      </c>
      <c r="D7" s="10">
        <f>SUMIFS(Concentrado!E$2:E$199,Concentrado!$A$2:$A$199,"="&amp;$A7,Concentrado!$B$2:$B$199, "=Campeche")</f>
        <v>0</v>
      </c>
      <c r="E7" s="10">
        <f>SUMIFS(Concentrado!F$2:F$199,Concentrado!$A$2:$A$199,"="&amp;$A7,Concentrado!$B$2:$B$199, "=Campeche")</f>
        <v>64271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J20" sqref="J20:J21"/>
    </sheetView>
  </sheetViews>
  <sheetFormatPr baseColWidth="10" defaultRowHeight="15" x14ac:dyDescent="0.25"/>
  <cols>
    <col min="1" max="1" width="12.140625" customWidth="1"/>
    <col min="2" max="3" width="16.42578125" customWidth="1"/>
    <col min="4" max="4" width="24" customWidth="1"/>
    <col min="5" max="5" width="14" customWidth="1"/>
  </cols>
  <sheetData>
    <row r="1" spans="1:5" s="3" customFormat="1" ht="28.5" x14ac:dyDescent="0.2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5">
      <c r="A2" s="7">
        <v>2017</v>
      </c>
      <c r="B2" s="10">
        <f>SUMIFS(Concentrado!C$2:C$199,Concentrado!$A$2:$A$199,"="&amp;$A2,Concentrado!$B$2:$B$199, "=Chiapas")</f>
        <v>40978</v>
      </c>
      <c r="C2" s="10">
        <f>SUMIFS(Concentrado!D$2:D$199,Concentrado!$A$2:$A$199,"="&amp;$A2,Concentrado!$B$2:$B$199, "=Chiapas")</f>
        <v>186733</v>
      </c>
      <c r="D2" s="10">
        <f>SUMIFS(Concentrado!E$2:E$199,Concentrado!$A$2:$A$199,"="&amp;$A2,Concentrado!$B$2:$B$199, "=Chiapas")</f>
        <v>7062</v>
      </c>
      <c r="E2" s="10">
        <f>SUMIFS(Concentrado!F$2:F$199,Concentrado!$A$2:$A$199,"="&amp;$A2,Concentrado!$B$2:$B$199, "=Chiapas")</f>
        <v>234773</v>
      </c>
    </row>
    <row r="3" spans="1:5" x14ac:dyDescent="0.25">
      <c r="A3" s="7">
        <v>2018</v>
      </c>
      <c r="B3" s="10">
        <f>SUMIFS(Concentrado!C$2:C$199,Concentrado!$A$2:$A$199,"="&amp;$A3,Concentrado!$B$2:$B$199, "=Chiapas")</f>
        <v>38419</v>
      </c>
      <c r="C3" s="10">
        <f>SUMIFS(Concentrado!D$2:D$199,Concentrado!$A$2:$A$199,"="&amp;$A3,Concentrado!$B$2:$B$199, "=Chiapas")</f>
        <v>150624</v>
      </c>
      <c r="D3" s="10">
        <f>SUMIFS(Concentrado!E$2:E$199,Concentrado!$A$2:$A$199,"="&amp;$A3,Concentrado!$B$2:$B$199, "=Chiapas")</f>
        <v>2883</v>
      </c>
      <c r="E3" s="10">
        <f>SUMIFS(Concentrado!F$2:F$199,Concentrado!$A$2:$A$199,"="&amp;$A3,Concentrado!$B$2:$B$199, "=Chiapas")</f>
        <v>191926</v>
      </c>
    </row>
    <row r="4" spans="1:5" x14ac:dyDescent="0.25">
      <c r="A4" s="7">
        <v>2019</v>
      </c>
      <c r="B4" s="10">
        <f>SUMIFS(Concentrado!C$2:C$199,Concentrado!$A$2:$A$199,"="&amp;$A4,Concentrado!$B$2:$B$199, "=Chiapas")</f>
        <v>53696</v>
      </c>
      <c r="C4" s="10">
        <f>SUMIFS(Concentrado!D$2:D$199,Concentrado!$A$2:$A$199,"="&amp;$A4,Concentrado!$B$2:$B$199, "=Chiapas")</f>
        <v>212764</v>
      </c>
      <c r="D4" s="10">
        <f>SUMIFS(Concentrado!E$2:E$199,Concentrado!$A$2:$A$199,"="&amp;$A4,Concentrado!$B$2:$B$199, "=Chiapas")</f>
        <v>11</v>
      </c>
      <c r="E4" s="10">
        <f>SUMIFS(Concentrado!F$2:F$199,Concentrado!$A$2:$A$199,"="&amp;$A4,Concentrado!$B$2:$B$199, "=Chiapas")</f>
        <v>266471</v>
      </c>
    </row>
    <row r="5" spans="1:5" x14ac:dyDescent="0.25">
      <c r="A5" s="7">
        <v>2020</v>
      </c>
      <c r="B5" s="10">
        <f>SUMIFS(Concentrado!C$2:C$199,Concentrado!$A$2:$A$199,"="&amp;$A5,Concentrado!$B$2:$B$199, "=Chiapas")</f>
        <v>33623</v>
      </c>
      <c r="C5" s="10">
        <f>SUMIFS(Concentrado!D$2:D$199,Concentrado!$A$2:$A$199,"="&amp;$A5,Concentrado!$B$2:$B$199, "=Chiapas")</f>
        <v>121083</v>
      </c>
      <c r="D5" s="10">
        <f>SUMIFS(Concentrado!E$2:E$199,Concentrado!$A$2:$A$199,"="&amp;$A5,Concentrado!$B$2:$B$199, "=Chiapas")</f>
        <v>0</v>
      </c>
      <c r="E5" s="10">
        <f>SUMIFS(Concentrado!F$2:F$199,Concentrado!$A$2:$A$199,"="&amp;$A5,Concentrado!$B$2:$B$199, "=Chiapas")</f>
        <v>154706</v>
      </c>
    </row>
    <row r="6" spans="1:5" x14ac:dyDescent="0.25">
      <c r="A6" s="7">
        <v>2021</v>
      </c>
      <c r="B6" s="10">
        <f>SUMIFS(Concentrado!C$2:C$199,Concentrado!$A$2:$A$199,"="&amp;$A6,Concentrado!$B$2:$B$199, "=Chiapas")</f>
        <v>47873</v>
      </c>
      <c r="C6" s="10">
        <f>SUMIFS(Concentrado!D$2:D$199,Concentrado!$A$2:$A$199,"="&amp;$A6,Concentrado!$B$2:$B$199, "=Chiapas")</f>
        <v>168046</v>
      </c>
      <c r="D6" s="10">
        <f>SUMIFS(Concentrado!E$2:E$199,Concentrado!$A$2:$A$199,"="&amp;$A6,Concentrado!$B$2:$B$199, "=Chiapas")</f>
        <v>0</v>
      </c>
      <c r="E6" s="10">
        <f>SUMIFS(Concentrado!F$2:F$199,Concentrado!$A$2:$A$199,"="&amp;$A6,Concentrado!$B$2:$B$199, "=Chiapas")</f>
        <v>215919</v>
      </c>
    </row>
    <row r="7" spans="1:5" x14ac:dyDescent="0.25">
      <c r="A7" s="7">
        <v>2022</v>
      </c>
      <c r="B7" s="10">
        <f>SUMIFS(Concentrado!C$2:C$199,Concentrado!$A$2:$A$199,"="&amp;$A7,Concentrado!$B$2:$B$199, "=Chiapas")</f>
        <v>84101</v>
      </c>
      <c r="C7" s="10">
        <f>SUMIFS(Concentrado!D$2:D$199,Concentrado!$A$2:$A$199,"="&amp;$A7,Concentrado!$B$2:$B$199, "=Chiapas")</f>
        <v>249692</v>
      </c>
      <c r="D7" s="10">
        <f>SUMIFS(Concentrado!E$2:E$199,Concentrado!$A$2:$A$199,"="&amp;$A7,Concentrado!$B$2:$B$199, "=Chiapas")</f>
        <v>0</v>
      </c>
      <c r="E7" s="10">
        <f>SUMIFS(Concentrado!F$2:F$199,Concentrado!$A$2:$A$199,"="&amp;$A7,Concentrado!$B$2:$B$199, "=Chiapas")</f>
        <v>333793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J20" sqref="J20:J21"/>
    </sheetView>
  </sheetViews>
  <sheetFormatPr baseColWidth="10" defaultRowHeight="15" x14ac:dyDescent="0.25"/>
  <cols>
    <col min="1" max="1" width="12.140625" customWidth="1"/>
    <col min="2" max="3" width="16.42578125" customWidth="1"/>
    <col min="4" max="4" width="24" customWidth="1"/>
    <col min="5" max="5" width="14" customWidth="1"/>
  </cols>
  <sheetData>
    <row r="1" spans="1:5" s="3" customFormat="1" ht="28.5" x14ac:dyDescent="0.2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5">
      <c r="A2" s="7">
        <v>2017</v>
      </c>
      <c r="B2" s="10">
        <f>SUMIFS(Concentrado!C$2:C$199,Concentrado!$A$2:$A$199,"="&amp;$A2,Concentrado!$B$2:$B$199, "=Chihuahua")</f>
        <v>39477</v>
      </c>
      <c r="C2" s="10">
        <f>SUMIFS(Concentrado!D$2:D$199,Concentrado!$A$2:$A$199,"="&amp;$A2,Concentrado!$B$2:$B$199, "=Chihuahua")</f>
        <v>125316</v>
      </c>
      <c r="D2" s="10">
        <f>SUMIFS(Concentrado!E$2:E$199,Concentrado!$A$2:$A$199,"="&amp;$A2,Concentrado!$B$2:$B$199, "=Chihuahua")</f>
        <v>4228</v>
      </c>
      <c r="E2" s="10">
        <f>SUMIFS(Concentrado!F$2:F$199,Concentrado!$A$2:$A$199,"="&amp;$A2,Concentrado!$B$2:$B$199, "=Chihuahua")</f>
        <v>169021</v>
      </c>
    </row>
    <row r="3" spans="1:5" x14ac:dyDescent="0.25">
      <c r="A3" s="7">
        <v>2018</v>
      </c>
      <c r="B3" s="10">
        <f>SUMIFS(Concentrado!C$2:C$199,Concentrado!$A$2:$A$199,"="&amp;$A3,Concentrado!$B$2:$B$199, "=Chihuahua")</f>
        <v>37139</v>
      </c>
      <c r="C3" s="10">
        <f>SUMIFS(Concentrado!D$2:D$199,Concentrado!$A$2:$A$199,"="&amp;$A3,Concentrado!$B$2:$B$199, "=Chihuahua")</f>
        <v>144711</v>
      </c>
      <c r="D3" s="10">
        <f>SUMIFS(Concentrado!E$2:E$199,Concentrado!$A$2:$A$199,"="&amp;$A3,Concentrado!$B$2:$B$199, "=Chihuahua")</f>
        <v>0</v>
      </c>
      <c r="E3" s="10">
        <f>SUMIFS(Concentrado!F$2:F$199,Concentrado!$A$2:$A$199,"="&amp;$A3,Concentrado!$B$2:$B$199, "=Chihuahua")</f>
        <v>181850</v>
      </c>
    </row>
    <row r="4" spans="1:5" x14ac:dyDescent="0.25">
      <c r="A4" s="7">
        <v>2019</v>
      </c>
      <c r="B4" s="10">
        <f>SUMIFS(Concentrado!C$2:C$199,Concentrado!$A$2:$A$199,"="&amp;$A4,Concentrado!$B$2:$B$199, "=Chihuahua")</f>
        <v>39162</v>
      </c>
      <c r="C4" s="10">
        <f>SUMIFS(Concentrado!D$2:D$199,Concentrado!$A$2:$A$199,"="&amp;$A4,Concentrado!$B$2:$B$199, "=Chihuahua")</f>
        <v>147300</v>
      </c>
      <c r="D4" s="10">
        <f>SUMIFS(Concentrado!E$2:E$199,Concentrado!$A$2:$A$199,"="&amp;$A4,Concentrado!$B$2:$B$199, "=Chihuahua")</f>
        <v>0</v>
      </c>
      <c r="E4" s="10">
        <f>SUMIFS(Concentrado!F$2:F$199,Concentrado!$A$2:$A$199,"="&amp;$A4,Concentrado!$B$2:$B$199, "=Chihuahua")</f>
        <v>186462</v>
      </c>
    </row>
    <row r="5" spans="1:5" x14ac:dyDescent="0.25">
      <c r="A5" s="7">
        <v>2020</v>
      </c>
      <c r="B5" s="10">
        <f>SUMIFS(Concentrado!C$2:C$199,Concentrado!$A$2:$A$199,"="&amp;$A5,Concentrado!$B$2:$B$199, "=Chihuahua")</f>
        <v>31815</v>
      </c>
      <c r="C5" s="10">
        <f>SUMIFS(Concentrado!D$2:D$199,Concentrado!$A$2:$A$199,"="&amp;$A5,Concentrado!$B$2:$B$199, "=Chihuahua")</f>
        <v>83752</v>
      </c>
      <c r="D5" s="10">
        <f>SUMIFS(Concentrado!E$2:E$199,Concentrado!$A$2:$A$199,"="&amp;$A5,Concentrado!$B$2:$B$199, "=Chihuahua")</f>
        <v>0</v>
      </c>
      <c r="E5" s="10">
        <f>SUMIFS(Concentrado!F$2:F$199,Concentrado!$A$2:$A$199,"="&amp;$A5,Concentrado!$B$2:$B$199, "=Chihuahua")</f>
        <v>115567</v>
      </c>
    </row>
    <row r="6" spans="1:5" x14ac:dyDescent="0.25">
      <c r="A6" s="7">
        <v>2021</v>
      </c>
      <c r="B6" s="10">
        <f>SUMIFS(Concentrado!C$2:C$199,Concentrado!$A$2:$A$199,"="&amp;$A6,Concentrado!$B$2:$B$199, "=Chihuahua")</f>
        <v>32891</v>
      </c>
      <c r="C6" s="10">
        <f>SUMIFS(Concentrado!D$2:D$199,Concentrado!$A$2:$A$199,"="&amp;$A6,Concentrado!$B$2:$B$199, "=Chihuahua")</f>
        <v>70250</v>
      </c>
      <c r="D6" s="10">
        <f>SUMIFS(Concentrado!E$2:E$199,Concentrado!$A$2:$A$199,"="&amp;$A6,Concentrado!$B$2:$B$199, "=Chihuahua")</f>
        <v>0</v>
      </c>
      <c r="E6" s="10">
        <f>SUMIFS(Concentrado!F$2:F$199,Concentrado!$A$2:$A$199,"="&amp;$A6,Concentrado!$B$2:$B$199, "=Chihuahua")</f>
        <v>103141</v>
      </c>
    </row>
    <row r="7" spans="1:5" x14ac:dyDescent="0.25">
      <c r="A7" s="7">
        <v>2022</v>
      </c>
      <c r="B7" s="10">
        <f>SUMIFS(Concentrado!C$2:C$199,Concentrado!$A$2:$A$199,"="&amp;$A7,Concentrado!$B$2:$B$199, "=Chihuahua")</f>
        <v>37973</v>
      </c>
      <c r="C7" s="10">
        <f>SUMIFS(Concentrado!D$2:D$199,Concentrado!$A$2:$A$199,"="&amp;$A7,Concentrado!$B$2:$B$199, "=Chihuahua")</f>
        <v>82903</v>
      </c>
      <c r="D7" s="10">
        <f>SUMIFS(Concentrado!E$2:E$199,Concentrado!$A$2:$A$199,"="&amp;$A7,Concentrado!$B$2:$B$199, "=Chihuahua")</f>
        <v>0</v>
      </c>
      <c r="E7" s="10">
        <f>SUMIFS(Concentrado!F$2:F$199,Concentrado!$A$2:$A$199,"="&amp;$A7,Concentrado!$B$2:$B$199, "=Chihuahua")</f>
        <v>120876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J20" sqref="J20:J21"/>
    </sheetView>
  </sheetViews>
  <sheetFormatPr baseColWidth="10" defaultRowHeight="15" x14ac:dyDescent="0.25"/>
  <cols>
    <col min="1" max="1" width="12.140625" customWidth="1"/>
    <col min="2" max="3" width="16.42578125" customWidth="1"/>
    <col min="4" max="4" width="24" customWidth="1"/>
    <col min="5" max="5" width="14" customWidth="1"/>
  </cols>
  <sheetData>
    <row r="1" spans="1:5" s="3" customFormat="1" ht="28.5" x14ac:dyDescent="0.2">
      <c r="A1" s="1" t="s">
        <v>0</v>
      </c>
      <c r="B1" s="1" t="s">
        <v>34</v>
      </c>
      <c r="C1" s="1" t="s">
        <v>35</v>
      </c>
      <c r="D1" s="1" t="s">
        <v>37</v>
      </c>
      <c r="E1" s="1" t="s">
        <v>36</v>
      </c>
    </row>
    <row r="2" spans="1:5" x14ac:dyDescent="0.25">
      <c r="A2" s="7">
        <v>2017</v>
      </c>
      <c r="B2" s="10">
        <f>SUMIFS(Concentrado!C$2:C$199,Concentrado!$A$2:$A$199,"="&amp;$A2,Concentrado!$B$2:$B$199, "=Ciudad de México")</f>
        <v>302118</v>
      </c>
      <c r="C2" s="10">
        <f>SUMIFS(Concentrado!D$2:D$199,Concentrado!$A$2:$A$199,"="&amp;$A2,Concentrado!$B$2:$B$199, "=Ciudad de México")</f>
        <v>572126</v>
      </c>
      <c r="D2" s="10">
        <f>SUMIFS(Concentrado!E$2:E$199,Concentrado!$A$2:$A$199,"="&amp;$A2,Concentrado!$B$2:$B$199, "=Ciudad de México")</f>
        <v>10553</v>
      </c>
      <c r="E2" s="10">
        <f>SUMIFS(Concentrado!F$2:F$199,Concentrado!$A$2:$A$199,"="&amp;$A2,Concentrado!$B$2:$B$199, "=Ciudad de México")</f>
        <v>884797</v>
      </c>
    </row>
    <row r="3" spans="1:5" x14ac:dyDescent="0.25">
      <c r="A3" s="7">
        <v>2018</v>
      </c>
      <c r="B3" s="10">
        <f>SUMIFS(Concentrado!C$2:C$199,Concentrado!$A$2:$A$199,"="&amp;$A3,Concentrado!$B$2:$B$199, "=Ciudad de México")</f>
        <v>367112</v>
      </c>
      <c r="C3" s="10">
        <f>SUMIFS(Concentrado!D$2:D$199,Concentrado!$A$2:$A$199,"="&amp;$A3,Concentrado!$B$2:$B$199, "=Ciudad de México")</f>
        <v>583525</v>
      </c>
      <c r="D3" s="10">
        <f>SUMIFS(Concentrado!E$2:E$199,Concentrado!$A$2:$A$199,"="&amp;$A3,Concentrado!$B$2:$B$199, "=Ciudad de México")</f>
        <v>2069</v>
      </c>
      <c r="E3" s="10">
        <f>SUMIFS(Concentrado!F$2:F$199,Concentrado!$A$2:$A$199,"="&amp;$A3,Concentrado!$B$2:$B$199, "=Ciudad de México")</f>
        <v>952706</v>
      </c>
    </row>
    <row r="4" spans="1:5" x14ac:dyDescent="0.25">
      <c r="A4" s="7">
        <v>2019</v>
      </c>
      <c r="B4" s="10">
        <f>SUMIFS(Concentrado!C$2:C$199,Concentrado!$A$2:$A$199,"="&amp;$A4,Concentrado!$B$2:$B$199, "=Ciudad de México")</f>
        <v>360013</v>
      </c>
      <c r="C4" s="10">
        <f>SUMIFS(Concentrado!D$2:D$199,Concentrado!$A$2:$A$199,"="&amp;$A4,Concentrado!$B$2:$B$199, "=Ciudad de México")</f>
        <v>569285</v>
      </c>
      <c r="D4" s="10">
        <f>SUMIFS(Concentrado!E$2:E$199,Concentrado!$A$2:$A$199,"="&amp;$A4,Concentrado!$B$2:$B$199, "=Ciudad de México")</f>
        <v>449</v>
      </c>
      <c r="E4" s="10">
        <f>SUMIFS(Concentrado!F$2:F$199,Concentrado!$A$2:$A$199,"="&amp;$A4,Concentrado!$B$2:$B$199, "=Ciudad de México")</f>
        <v>929747</v>
      </c>
    </row>
    <row r="5" spans="1:5" x14ac:dyDescent="0.25">
      <c r="A5" s="7">
        <v>2020</v>
      </c>
      <c r="B5" s="10">
        <f>SUMIFS(Concentrado!C$2:C$199,Concentrado!$A$2:$A$199,"="&amp;$A5,Concentrado!$B$2:$B$199, "=Ciudad de México")</f>
        <v>245672</v>
      </c>
      <c r="C5" s="10">
        <f>SUMIFS(Concentrado!D$2:D$199,Concentrado!$A$2:$A$199,"="&amp;$A5,Concentrado!$B$2:$B$199, "=Ciudad de México")</f>
        <v>367949</v>
      </c>
      <c r="D5" s="10">
        <f>SUMIFS(Concentrado!E$2:E$199,Concentrado!$A$2:$A$199,"="&amp;$A5,Concentrado!$B$2:$B$199, "=Ciudad de México")</f>
        <v>926</v>
      </c>
      <c r="E5" s="10">
        <f>SUMIFS(Concentrado!F$2:F$199,Concentrado!$A$2:$A$199,"="&amp;$A5,Concentrado!$B$2:$B$199, "=Ciudad de México")</f>
        <v>614547</v>
      </c>
    </row>
    <row r="6" spans="1:5" x14ac:dyDescent="0.25">
      <c r="A6" s="7">
        <v>2021</v>
      </c>
      <c r="B6" s="10">
        <f>SUMIFS(Concentrado!C$2:C$199,Concentrado!$A$2:$A$199,"="&amp;$A6,Concentrado!$B$2:$B$199, "=Ciudad de México")</f>
        <v>255910</v>
      </c>
      <c r="C6" s="10">
        <f>SUMIFS(Concentrado!D$2:D$199,Concentrado!$A$2:$A$199,"="&amp;$A6,Concentrado!$B$2:$B$199, "=Ciudad de México")</f>
        <v>423038</v>
      </c>
      <c r="D6" s="10">
        <f>SUMIFS(Concentrado!E$2:E$199,Concentrado!$A$2:$A$199,"="&amp;$A6,Concentrado!$B$2:$B$199, "=Ciudad de México")</f>
        <v>0</v>
      </c>
      <c r="E6" s="10">
        <f>SUMIFS(Concentrado!F$2:F$199,Concentrado!$A$2:$A$199,"="&amp;$A6,Concentrado!$B$2:$B$199, "=Ciudad de México")</f>
        <v>678948</v>
      </c>
    </row>
    <row r="7" spans="1:5" x14ac:dyDescent="0.25">
      <c r="A7" s="7">
        <v>2022</v>
      </c>
      <c r="B7" s="10">
        <f>SUMIFS(Concentrado!C$2:C$199,Concentrado!$A$2:$A$199,"="&amp;$A7,Concentrado!$B$2:$B$199, "=Ciudad de México")</f>
        <v>193192</v>
      </c>
      <c r="C7" s="10">
        <f>SUMIFS(Concentrado!D$2:D$199,Concentrado!$A$2:$A$199,"="&amp;$A7,Concentrado!$B$2:$B$199, "=Ciudad de México")</f>
        <v>423550</v>
      </c>
      <c r="D7" s="10">
        <f>SUMIFS(Concentrado!E$2:E$199,Concentrado!$A$2:$A$199,"="&amp;$A7,Concentrado!$B$2:$B$199, "=Ciudad de México")</f>
        <v>0</v>
      </c>
      <c r="E7" s="10">
        <f>SUMIFS(Concentrado!F$2:F$199,Concentrado!$A$2:$A$199,"="&amp;$A7,Concentrado!$B$2:$B$199, "=Ciudad de México")</f>
        <v>616742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34</vt:i4>
      </vt:variant>
    </vt:vector>
  </HeadingPairs>
  <TitlesOfParts>
    <vt:vector size="34" baseType="lpstr">
      <vt:lpstr>Concentrado</vt:lpstr>
      <vt:lpstr>NACIONAL</vt:lpstr>
      <vt:lpstr>AGS</vt:lpstr>
      <vt:lpstr>BC</vt:lpstr>
      <vt:lpstr>BCS</vt:lpstr>
      <vt:lpstr>CAMP</vt:lpstr>
      <vt:lpstr>CHIS</vt:lpstr>
      <vt:lpstr>CHI</vt:lpstr>
      <vt:lpstr>CDMX</vt:lpstr>
      <vt:lpstr>COAH</vt:lpstr>
      <vt:lpstr>COL</vt:lpstr>
      <vt:lpstr>DGO</vt:lpstr>
      <vt:lpstr>GTO</vt:lpstr>
      <vt:lpstr>GRO</vt:lpstr>
      <vt:lpstr>HGO</vt:lpstr>
      <vt:lpstr>JAL</vt:lpstr>
      <vt:lpstr>MEX</vt:lpstr>
      <vt:lpstr>MICH</vt:lpstr>
      <vt:lpstr>MOR</vt:lpstr>
      <vt:lpstr>NAY</vt:lpstr>
      <vt:lpstr>NL</vt:lpstr>
      <vt:lpstr>OAX</vt:lpstr>
      <vt:lpstr>PUE</vt:lpstr>
      <vt:lpstr>QRO</vt:lpstr>
      <vt:lpstr>QROO</vt:lpstr>
      <vt:lpstr>SLP</vt:lpstr>
      <vt:lpstr>SIN</vt:lpstr>
      <vt:lpstr>SON</vt:lpstr>
      <vt:lpstr>TAB</vt:lpstr>
      <vt:lpstr>TAMPS</vt:lpstr>
      <vt:lpstr>TLAX</vt:lpstr>
      <vt:lpstr>VER</vt:lpstr>
      <vt:lpstr>YUC</vt:lpstr>
      <vt:lpstr>ZAC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2019-03-12T16:50:24Z</dcterms:created>
  <dcterms:modified xsi:type="dcterms:W3CDTF">2023-01-03T17:50:03Z</dcterms:modified>
</cp:coreProperties>
</file>